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Семенова\НА САЙТ\"/>
    </mc:Choice>
  </mc:AlternateContent>
  <bookViews>
    <workbookView xWindow="255" yWindow="45" windowWidth="43395" windowHeight="18120" tabRatio="875" activeTab="18"/>
  </bookViews>
  <sheets>
    <sheet name="Ф1 2020" sheetId="151" r:id="rId1"/>
    <sheet name="Ф1 2021" sheetId="192" r:id="rId2"/>
    <sheet name="Ф1 2022" sheetId="191" r:id="rId3"/>
    <sheet name="Ф1 2023" sheetId="190" r:id="rId4"/>
    <sheet name="Ф1 2024" sheetId="189" r:id="rId5"/>
    <sheet name="2 (цены с НДС)" sheetId="12" r:id="rId6"/>
    <sheet name="3 (цены без НДС)" sheetId="115" r:id="rId7"/>
    <sheet name="4" sheetId="125" r:id="rId8"/>
    <sheet name="5" sheetId="126" r:id="rId9"/>
    <sheet name="6" sheetId="119" r:id="rId10"/>
    <sheet name="7" sheetId="120" r:id="rId11"/>
    <sheet name="8" sheetId="122" r:id="rId12"/>
    <sheet name="9" sheetId="123" r:id="rId13"/>
    <sheet name="10" sheetId="117" r:id="rId14"/>
    <sheet name="11.1" sheetId="128" r:id="rId15"/>
    <sheet name="11.2" sheetId="187" r:id="rId16"/>
    <sheet name="11.3" sheetId="188" r:id="rId17"/>
    <sheet name="12" sheetId="127" r:id="rId18"/>
    <sheet name="13" sheetId="116" r:id="rId19"/>
    <sheet name="14" sheetId="165" r:id="rId20"/>
    <sheet name="15" sheetId="184" r:id="rId21"/>
    <sheet name="16" sheetId="185" r:id="rId22"/>
    <sheet name="17" sheetId="158" r:id="rId23"/>
    <sheet name="18" sheetId="124" r:id="rId24"/>
    <sheet name="19" sheetId="159" r:id="rId25"/>
    <sheet name="21" sheetId="193" r:id="rId26"/>
    <sheet name="ФП" sheetId="196" r:id="rId27"/>
  </sheets>
  <definedNames>
    <definedName name="_xlnm._FilterDatabase" localSheetId="23" hidden="1">'18'!#REF!</definedName>
    <definedName name="_xlnm._FilterDatabase" localSheetId="7" hidden="1">'4'!#REF!</definedName>
    <definedName name="_xlnm._FilterDatabase" localSheetId="8" hidden="1">'5'!#REF!</definedName>
    <definedName name="_xlnm._FilterDatabase" localSheetId="9" hidden="1">'6'!$A$19:$AY$19</definedName>
    <definedName name="_xlnm._FilterDatabase" localSheetId="10" hidden="1">'7'!$A$13:$DL$18</definedName>
    <definedName name="_xlnm._FilterDatabase" localSheetId="11" hidden="1">'8'!#REF!</definedName>
    <definedName name="_xlnm._FilterDatabase" localSheetId="12" hidden="1">'9'!#REF!</definedName>
    <definedName name="_xlnm.Print_Titles" localSheetId="15">'11.2'!$17:$17</definedName>
    <definedName name="_xlnm.Print_Titles" localSheetId="16">'11.3'!$14:$14</definedName>
    <definedName name="_xlnm.Print_Titles" localSheetId="17">'12'!$11:$13</definedName>
    <definedName name="_xlnm.Print_Titles" localSheetId="18">'13'!$11:$12</definedName>
    <definedName name="_xlnm.Print_Titles" localSheetId="19">'14'!$11:$13</definedName>
    <definedName name="_xlnm.Print_Titles" localSheetId="5">'2 (цены с НДС)'!$A:$B,'2 (цены с НДС)'!$14:$17</definedName>
    <definedName name="_xlnm.Print_Titles" localSheetId="6">'3 (цены без НДС)'!$14:$17</definedName>
    <definedName name="_xlnm.Print_Titles" localSheetId="7">'4'!$A:$B,'4'!$14:$19</definedName>
    <definedName name="_xlnm.Print_Titles" localSheetId="10">'7'!$A:$B,'7'!$14:$17</definedName>
    <definedName name="_xlnm.Print_Titles" localSheetId="11">'8'!$11:$14</definedName>
    <definedName name="_xlnm.Print_Titles" localSheetId="12">'9'!$15:$18</definedName>
    <definedName name="_xlnm.Print_Titles" localSheetId="0">'Ф1 2020'!$15:$19</definedName>
    <definedName name="_xlnm.Print_Titles" localSheetId="1">'Ф1 2021'!$15:$19</definedName>
    <definedName name="_xlnm.Print_Titles" localSheetId="2">'Ф1 2022'!$15:$19</definedName>
    <definedName name="_xlnm.Print_Titles" localSheetId="3">'Ф1 2023'!$15:$19</definedName>
    <definedName name="_xlnm.Print_Titles" localSheetId="4">'Ф1 2024'!$15:$19</definedName>
    <definedName name="_xlnm.Print_Area" localSheetId="13">'10'!$A$1:$R$74</definedName>
    <definedName name="_xlnm.Print_Area" localSheetId="14">'11.1'!$A$1:$AH$17</definedName>
    <definedName name="_xlnm.Print_Area" localSheetId="15">'11.2'!$A$5:$O$162</definedName>
    <definedName name="_xlnm.Print_Area" localSheetId="16">'11.3'!$A$5:$I$37</definedName>
    <definedName name="_xlnm.Print_Area" localSheetId="17">'12'!$A$1:$AE$72</definedName>
    <definedName name="_xlnm.Print_Area" localSheetId="18">'13'!$A$1:$K$72</definedName>
    <definedName name="_xlnm.Print_Area" localSheetId="19">'14'!$A$1:$U$75</definedName>
    <definedName name="_xlnm.Print_Area" localSheetId="20">'15'!$A$1:$Y$15</definedName>
    <definedName name="_xlnm.Print_Area" localSheetId="21">'16'!$A$1:$X$15</definedName>
    <definedName name="_xlnm.Print_Area" localSheetId="22">'17'!$A$1:$I$21</definedName>
    <definedName name="_xlnm.Print_Area" localSheetId="23">'18'!$A$1:$H$22</definedName>
    <definedName name="_xlnm.Print_Area" localSheetId="5">'2 (цены с НДС)'!$A$1:$CQ$77</definedName>
    <definedName name="_xlnm.Print_Area" localSheetId="25">'21'!$A$1:$H$77</definedName>
    <definedName name="_xlnm.Print_Area" localSheetId="6">'3 (цены без НДС)'!$A$1:$AO$82</definedName>
    <definedName name="_xlnm.Print_Area" localSheetId="7">'4'!$A$1:$CZ$78</definedName>
    <definedName name="_xlnm.Print_Area" localSheetId="8">'5'!$A$1:$AL$41</definedName>
    <definedName name="_xlnm.Print_Area" localSheetId="9">'6'!$A$1:$BX$76</definedName>
    <definedName name="_xlnm.Print_Area" localSheetId="10">'7'!$A$1:$DL$78</definedName>
    <definedName name="_xlnm.Print_Area" localSheetId="11">'8'!$A$1:$AM$74</definedName>
    <definedName name="_xlnm.Print_Area" localSheetId="12">'9'!$A$1:$K$81</definedName>
    <definedName name="_xlnm.Print_Area" localSheetId="0">'Ф1 2020'!$A$1:$AS$78</definedName>
    <definedName name="_xlnm.Print_Area" localSheetId="1">'Ф1 2021'!$A$1:$AS$97</definedName>
    <definedName name="_xlnm.Print_Area" localSheetId="2">'Ф1 2022'!$A$1:$AS$79</definedName>
    <definedName name="_xlnm.Print_Area" localSheetId="3">'Ф1 2023'!$A$1:$AS$80</definedName>
    <definedName name="_xlnm.Print_Area" localSheetId="4">'Ф1 2024'!$A$1:$AS$80</definedName>
    <definedName name="_xlnm.Print_Area" localSheetId="26">ФП!$A$1:$W$457</definedName>
  </definedNames>
  <calcPr calcId="162913" fullPrecision="0"/>
</workbook>
</file>

<file path=xl/calcChain.xml><?xml version="1.0" encoding="utf-8"?>
<calcChain xmlns="http://schemas.openxmlformats.org/spreadsheetml/2006/main">
  <c r="W439" i="196" l="1"/>
  <c r="V439" i="196"/>
  <c r="U439" i="196"/>
  <c r="T439" i="196"/>
  <c r="S439" i="196"/>
  <c r="R439" i="196"/>
  <c r="Q439" i="196"/>
  <c r="P439" i="196"/>
  <c r="O439" i="196"/>
  <c r="N439" i="196"/>
  <c r="M439" i="196"/>
  <c r="L439" i="196"/>
  <c r="K439" i="196"/>
  <c r="J439" i="196"/>
  <c r="I439" i="196"/>
  <c r="V427" i="196"/>
  <c r="T427" i="196"/>
  <c r="R427" i="196"/>
  <c r="P427" i="196"/>
  <c r="N427" i="196"/>
  <c r="L427" i="196"/>
  <c r="I409" i="196"/>
  <c r="T402" i="196"/>
  <c r="T396" i="196" s="1"/>
  <c r="T395" i="196" s="1"/>
  <c r="T370" i="196" s="1"/>
  <c r="T369" i="196" s="1"/>
  <c r="P402" i="196"/>
  <c r="P396" i="196" s="1"/>
  <c r="P395" i="196" s="1"/>
  <c r="P370" i="196" s="1"/>
  <c r="P369" i="196" s="1"/>
  <c r="K396" i="196"/>
  <c r="J396" i="196"/>
  <c r="I396" i="196"/>
  <c r="K395" i="196"/>
  <c r="J395" i="196"/>
  <c r="J370" i="196" s="1"/>
  <c r="J369" i="196" s="1"/>
  <c r="I395" i="196"/>
  <c r="W378" i="196"/>
  <c r="V378" i="196"/>
  <c r="U371" i="196"/>
  <c r="T371" i="196"/>
  <c r="S371" i="196"/>
  <c r="R371" i="196"/>
  <c r="Q371" i="196"/>
  <c r="P371" i="196"/>
  <c r="O371" i="196"/>
  <c r="W371" i="196" s="1"/>
  <c r="N371" i="196"/>
  <c r="M371" i="196"/>
  <c r="L371" i="196"/>
  <c r="V371" i="196" s="1"/>
  <c r="I370" i="196"/>
  <c r="I369" i="196" s="1"/>
  <c r="V341" i="196"/>
  <c r="V337" i="196"/>
  <c r="P302" i="196"/>
  <c r="V300" i="196"/>
  <c r="V299" i="196"/>
  <c r="V298" i="196"/>
  <c r="V297" i="196"/>
  <c r="V296" i="196"/>
  <c r="V295" i="196"/>
  <c r="V294" i="196"/>
  <c r="V293" i="196"/>
  <c r="V292" i="196"/>
  <c r="L291" i="196"/>
  <c r="P290" i="196"/>
  <c r="N290" i="196"/>
  <c r="L290" i="196"/>
  <c r="L289" i="196"/>
  <c r="P288" i="196"/>
  <c r="N288" i="196"/>
  <c r="L288" i="196"/>
  <c r="L287" i="196"/>
  <c r="V286" i="196"/>
  <c r="V285" i="196"/>
  <c r="V284" i="196"/>
  <c r="V283" i="196"/>
  <c r="P282" i="196"/>
  <c r="N282" i="196"/>
  <c r="L282" i="196"/>
  <c r="V281" i="196"/>
  <c r="V280" i="196"/>
  <c r="V279" i="196"/>
  <c r="V278" i="196"/>
  <c r="L277" i="196"/>
  <c r="P276" i="196"/>
  <c r="N276" i="196"/>
  <c r="L276" i="196"/>
  <c r="L275" i="196"/>
  <c r="P274" i="196"/>
  <c r="N274" i="196"/>
  <c r="L274" i="196"/>
  <c r="L273" i="196"/>
  <c r="P272" i="196"/>
  <c r="N272" i="196"/>
  <c r="L272" i="196"/>
  <c r="L271" i="196"/>
  <c r="P270" i="196"/>
  <c r="N270" i="196"/>
  <c r="L270" i="196"/>
  <c r="L269" i="196"/>
  <c r="P268" i="196"/>
  <c r="N268" i="196"/>
  <c r="L268" i="196"/>
  <c r="L267" i="196"/>
  <c r="N266" i="196"/>
  <c r="L266" i="196"/>
  <c r="L265" i="196"/>
  <c r="N264" i="196"/>
  <c r="P264" i="196" s="1"/>
  <c r="L264" i="196"/>
  <c r="V263" i="196"/>
  <c r="V262" i="196"/>
  <c r="V251" i="196" s="1"/>
  <c r="W251" i="196"/>
  <c r="U251" i="196"/>
  <c r="T251" i="196"/>
  <c r="S251" i="196"/>
  <c r="R251" i="196"/>
  <c r="Q251" i="196"/>
  <c r="P251" i="196"/>
  <c r="O251" i="196"/>
  <c r="N251" i="196"/>
  <c r="M251" i="196"/>
  <c r="L251" i="196"/>
  <c r="K251" i="196"/>
  <c r="J251" i="196"/>
  <c r="I251" i="196"/>
  <c r="T244" i="196"/>
  <c r="Q244" i="196"/>
  <c r="L244" i="196"/>
  <c r="I244" i="196"/>
  <c r="V242" i="196"/>
  <c r="L242" i="196"/>
  <c r="N242" i="196" s="1"/>
  <c r="P242" i="196" s="1"/>
  <c r="L241" i="196"/>
  <c r="N238" i="196"/>
  <c r="L238" i="196"/>
  <c r="W234" i="196"/>
  <c r="W232" i="196"/>
  <c r="U232" i="196"/>
  <c r="S232" i="196"/>
  <c r="Q232" i="196"/>
  <c r="O232" i="196"/>
  <c r="N232" i="196"/>
  <c r="M232" i="196"/>
  <c r="L232" i="196"/>
  <c r="K232" i="196"/>
  <c r="J232" i="196"/>
  <c r="I232" i="196"/>
  <c r="L231" i="196"/>
  <c r="L230" i="196"/>
  <c r="L229" i="196"/>
  <c r="L228" i="196"/>
  <c r="N228" i="196" s="1"/>
  <c r="P228" i="196" s="1"/>
  <c r="L227" i="196"/>
  <c r="W221" i="196"/>
  <c r="W244" i="196" s="1"/>
  <c r="U221" i="196"/>
  <c r="U244" i="196" s="1"/>
  <c r="T221" i="196"/>
  <c r="S221" i="196"/>
  <c r="S244" i="196" s="1"/>
  <c r="R221" i="196"/>
  <c r="R244" i="196" s="1"/>
  <c r="Q221" i="196"/>
  <c r="P221" i="196"/>
  <c r="P244" i="196" s="1"/>
  <c r="O221" i="196"/>
  <c r="O244" i="196" s="1"/>
  <c r="N221" i="196"/>
  <c r="N244" i="196" s="1"/>
  <c r="M221" i="196"/>
  <c r="M244" i="196" s="1"/>
  <c r="L221" i="196"/>
  <c r="K221" i="196"/>
  <c r="K244" i="196" s="1"/>
  <c r="J221" i="196"/>
  <c r="I221" i="196"/>
  <c r="L220" i="196"/>
  <c r="U219" i="196"/>
  <c r="S219" i="196"/>
  <c r="S243" i="196" s="1"/>
  <c r="Q219" i="196"/>
  <c r="O219" i="196"/>
  <c r="O243" i="196" s="1"/>
  <c r="M219" i="196"/>
  <c r="I219" i="196"/>
  <c r="W218" i="196"/>
  <c r="V218" i="196"/>
  <c r="V217" i="196"/>
  <c r="U217" i="196"/>
  <c r="W217" i="196" s="1"/>
  <c r="W216" i="196"/>
  <c r="V216" i="196"/>
  <c r="W215" i="196"/>
  <c r="V215" i="196"/>
  <c r="W214" i="196"/>
  <c r="V214" i="196"/>
  <c r="W213" i="196"/>
  <c r="V213" i="196"/>
  <c r="W212" i="196"/>
  <c r="V212" i="196"/>
  <c r="W211" i="196"/>
  <c r="V211" i="196"/>
  <c r="W210" i="196"/>
  <c r="V210" i="196"/>
  <c r="V209" i="196"/>
  <c r="M209" i="196"/>
  <c r="L209" i="196"/>
  <c r="K209" i="196"/>
  <c r="U208" i="196"/>
  <c r="U402" i="196" s="1"/>
  <c r="U396" i="196" s="1"/>
  <c r="U395" i="196" s="1"/>
  <c r="U370" i="196" s="1"/>
  <c r="U369" i="196" s="1"/>
  <c r="T208" i="196"/>
  <c r="S208" i="196"/>
  <c r="R208" i="196"/>
  <c r="R402" i="196" s="1"/>
  <c r="R396" i="196" s="1"/>
  <c r="R395" i="196" s="1"/>
  <c r="R370" i="196" s="1"/>
  <c r="R369" i="196" s="1"/>
  <c r="Q208" i="196"/>
  <c r="Q402" i="196" s="1"/>
  <c r="Q396" i="196" s="1"/>
  <c r="Q395" i="196" s="1"/>
  <c r="Q370" i="196" s="1"/>
  <c r="Q369" i="196" s="1"/>
  <c r="P208" i="196"/>
  <c r="O208" i="196"/>
  <c r="N208" i="196"/>
  <c r="N402" i="196" s="1"/>
  <c r="N396" i="196" s="1"/>
  <c r="N395" i="196" s="1"/>
  <c r="N370" i="196" s="1"/>
  <c r="L208" i="196"/>
  <c r="L402" i="196" s="1"/>
  <c r="K208" i="196"/>
  <c r="K207" i="196" s="1"/>
  <c r="K240" i="196" s="1"/>
  <c r="K241" i="196" s="1"/>
  <c r="J208" i="196"/>
  <c r="I208" i="196"/>
  <c r="T207" i="196"/>
  <c r="R207" i="196"/>
  <c r="Q207" i="196"/>
  <c r="Q240" i="196" s="1"/>
  <c r="Q241" i="196" s="1"/>
  <c r="P207" i="196"/>
  <c r="L207" i="196"/>
  <c r="L240" i="196" s="1"/>
  <c r="J207" i="196"/>
  <c r="J240" i="196" s="1"/>
  <c r="J241" i="196" s="1"/>
  <c r="I207" i="196"/>
  <c r="I240" i="196" s="1"/>
  <c r="L206" i="196"/>
  <c r="P205" i="196"/>
  <c r="N205" i="196"/>
  <c r="L205" i="196"/>
  <c r="V204" i="196"/>
  <c r="P204" i="196"/>
  <c r="N204" i="196"/>
  <c r="L204" i="196"/>
  <c r="L203" i="196"/>
  <c r="L202" i="196"/>
  <c r="V201" i="196"/>
  <c r="R201" i="196"/>
  <c r="P201" i="196"/>
  <c r="T201" i="196" s="1"/>
  <c r="U201" i="196" s="1"/>
  <c r="N201" i="196"/>
  <c r="L201" i="196"/>
  <c r="N200" i="196"/>
  <c r="P198" i="196"/>
  <c r="N198" i="196"/>
  <c r="Q197" i="196"/>
  <c r="O197" i="196"/>
  <c r="N197" i="196"/>
  <c r="M197" i="196"/>
  <c r="L197" i="196"/>
  <c r="K197" i="196"/>
  <c r="J197" i="196"/>
  <c r="I197" i="196"/>
  <c r="V196" i="196"/>
  <c r="U196" i="196"/>
  <c r="T195" i="196"/>
  <c r="U195" i="196" s="1"/>
  <c r="S195" i="196"/>
  <c r="R195" i="196"/>
  <c r="P195" i="196"/>
  <c r="O195" i="196"/>
  <c r="N195" i="196"/>
  <c r="M195" i="196"/>
  <c r="L195" i="196"/>
  <c r="K195" i="196"/>
  <c r="J195" i="196"/>
  <c r="I195" i="196"/>
  <c r="V194" i="196"/>
  <c r="U194" i="196"/>
  <c r="W193" i="196"/>
  <c r="O193" i="196"/>
  <c r="M193" i="196"/>
  <c r="R192" i="196"/>
  <c r="O192" i="196"/>
  <c r="N192" i="196"/>
  <c r="K192" i="196"/>
  <c r="J192" i="196"/>
  <c r="U191" i="196"/>
  <c r="T191" i="196"/>
  <c r="R191" i="196"/>
  <c r="P191" i="196"/>
  <c r="O191" i="196"/>
  <c r="N191" i="196"/>
  <c r="M191" i="196"/>
  <c r="M192" i="196" s="1"/>
  <c r="K191" i="196"/>
  <c r="J191" i="196"/>
  <c r="I191" i="196"/>
  <c r="I192" i="196" s="1"/>
  <c r="L190" i="196"/>
  <c r="N190" i="196" s="1"/>
  <c r="P190" i="196" s="1"/>
  <c r="U189" i="196"/>
  <c r="T189" i="196"/>
  <c r="S189" i="196"/>
  <c r="R189" i="196"/>
  <c r="Q189" i="196"/>
  <c r="P189" i="196"/>
  <c r="O189" i="196"/>
  <c r="N189" i="196"/>
  <c r="V189" i="196" s="1"/>
  <c r="M189" i="196"/>
  <c r="L189" i="196"/>
  <c r="K189" i="196"/>
  <c r="J189" i="196"/>
  <c r="I189" i="196"/>
  <c r="V188" i="196"/>
  <c r="U188" i="196"/>
  <c r="V187" i="196"/>
  <c r="V186" i="196" s="1"/>
  <c r="V185" i="196" s="1"/>
  <c r="V184" i="196" s="1"/>
  <c r="U187" i="196"/>
  <c r="K187" i="196"/>
  <c r="J187" i="196"/>
  <c r="I187" i="196"/>
  <c r="W184" i="196"/>
  <c r="U184" i="196"/>
  <c r="T184" i="196"/>
  <c r="S184" i="196"/>
  <c r="R184" i="196"/>
  <c r="Q184" i="196"/>
  <c r="P184" i="196"/>
  <c r="O184" i="196"/>
  <c r="N184" i="196"/>
  <c r="M184" i="196"/>
  <c r="L184" i="196"/>
  <c r="K184" i="196"/>
  <c r="J184" i="196"/>
  <c r="I184" i="196"/>
  <c r="L183" i="196"/>
  <c r="W182" i="196"/>
  <c r="Q181" i="196"/>
  <c r="P181" i="196"/>
  <c r="O181" i="196"/>
  <c r="N181" i="196"/>
  <c r="M181" i="196"/>
  <c r="L181" i="196"/>
  <c r="K181" i="196"/>
  <c r="J181" i="196"/>
  <c r="I181" i="196"/>
  <c r="W178" i="196"/>
  <c r="U178" i="196"/>
  <c r="T178" i="196"/>
  <c r="S178" i="196"/>
  <c r="R178" i="196"/>
  <c r="Q178" i="196"/>
  <c r="P178" i="196"/>
  <c r="O178" i="196"/>
  <c r="N178" i="196"/>
  <c r="M178" i="196"/>
  <c r="L178" i="196"/>
  <c r="V178" i="196" s="1"/>
  <c r="K178" i="196"/>
  <c r="J178" i="196"/>
  <c r="I178" i="196"/>
  <c r="L177" i="196"/>
  <c r="R176" i="196"/>
  <c r="P176" i="196"/>
  <c r="T176" i="196" s="1"/>
  <c r="N176" i="196"/>
  <c r="L176" i="196"/>
  <c r="V176" i="196" s="1"/>
  <c r="L175" i="196"/>
  <c r="N174" i="196"/>
  <c r="P174" i="196" s="1"/>
  <c r="L174" i="196"/>
  <c r="P173" i="196"/>
  <c r="N173" i="196"/>
  <c r="L173" i="196"/>
  <c r="L172" i="196"/>
  <c r="P171" i="196"/>
  <c r="N171" i="196"/>
  <c r="L171" i="196"/>
  <c r="T170" i="196"/>
  <c r="T308" i="196" s="1"/>
  <c r="T302" i="196" s="1"/>
  <c r="R170" i="196"/>
  <c r="R308" i="196" s="1"/>
  <c r="R302" i="196" s="1"/>
  <c r="Q170" i="196"/>
  <c r="Q164" i="196" s="1"/>
  <c r="P170" i="196"/>
  <c r="P308" i="196" s="1"/>
  <c r="O170" i="196"/>
  <c r="N170" i="196"/>
  <c r="N308" i="196" s="1"/>
  <c r="N302" i="196" s="1"/>
  <c r="M170" i="196"/>
  <c r="M164" i="196" s="1"/>
  <c r="L170" i="196"/>
  <c r="L308" i="196" s="1"/>
  <c r="L302" i="196" s="1"/>
  <c r="K170" i="196"/>
  <c r="K308" i="196" s="1"/>
  <c r="K302" i="196" s="1"/>
  <c r="J170" i="196"/>
  <c r="J308" i="196" s="1"/>
  <c r="J302" i="196" s="1"/>
  <c r="I170" i="196"/>
  <c r="R169" i="196"/>
  <c r="P169" i="196"/>
  <c r="T169" i="196" s="1"/>
  <c r="N169" i="196"/>
  <c r="L169" i="196"/>
  <c r="L168" i="196"/>
  <c r="R167" i="196"/>
  <c r="P167" i="196"/>
  <c r="T167" i="196" s="1"/>
  <c r="N167" i="196"/>
  <c r="L167" i="196"/>
  <c r="L166" i="196"/>
  <c r="R165" i="196"/>
  <c r="P165" i="196"/>
  <c r="N165" i="196"/>
  <c r="L165" i="196"/>
  <c r="W164" i="196"/>
  <c r="O164" i="196"/>
  <c r="N164" i="196"/>
  <c r="K164" i="196"/>
  <c r="J164" i="196"/>
  <c r="V156" i="196"/>
  <c r="M155" i="196"/>
  <c r="L155" i="196"/>
  <c r="V154" i="196"/>
  <c r="T154" i="196"/>
  <c r="N154" i="196"/>
  <c r="P154" i="196" s="1"/>
  <c r="R154" i="196" s="1"/>
  <c r="M154" i="196"/>
  <c r="L154" i="196"/>
  <c r="L153" i="196"/>
  <c r="L152" i="196"/>
  <c r="N151" i="196"/>
  <c r="M151" i="196"/>
  <c r="L151" i="196"/>
  <c r="T150" i="196"/>
  <c r="N150" i="196"/>
  <c r="P150" i="196" s="1"/>
  <c r="R150" i="196" s="1"/>
  <c r="M150" i="196"/>
  <c r="L150" i="196"/>
  <c r="L149" i="196"/>
  <c r="L148" i="196"/>
  <c r="P147" i="196"/>
  <c r="R147" i="196" s="1"/>
  <c r="T147" i="196" s="1"/>
  <c r="N147" i="196"/>
  <c r="M147" i="196"/>
  <c r="L147" i="196"/>
  <c r="V146" i="196"/>
  <c r="T146" i="196"/>
  <c r="N146" i="196"/>
  <c r="P146" i="196" s="1"/>
  <c r="R146" i="196" s="1"/>
  <c r="M146" i="196"/>
  <c r="L146" i="196"/>
  <c r="L145" i="196"/>
  <c r="L144" i="196"/>
  <c r="V143" i="196"/>
  <c r="P143" i="196"/>
  <c r="R143" i="196" s="1"/>
  <c r="T143" i="196" s="1"/>
  <c r="N143" i="196"/>
  <c r="M143" i="196"/>
  <c r="L143" i="196"/>
  <c r="M141" i="196"/>
  <c r="L141" i="196"/>
  <c r="P140" i="196"/>
  <c r="R140" i="196" s="1"/>
  <c r="T140" i="196" s="1"/>
  <c r="N140" i="196"/>
  <c r="L140" i="196"/>
  <c r="M140" i="196" s="1"/>
  <c r="L139" i="196"/>
  <c r="P138" i="196"/>
  <c r="R138" i="196" s="1"/>
  <c r="T138" i="196" s="1"/>
  <c r="N138" i="196"/>
  <c r="V138" i="196" s="1"/>
  <c r="M138" i="196"/>
  <c r="L138" i="196"/>
  <c r="N137" i="196"/>
  <c r="P137" i="196" s="1"/>
  <c r="R137" i="196" s="1"/>
  <c r="T137" i="196" s="1"/>
  <c r="M137" i="196"/>
  <c r="L137" i="196"/>
  <c r="L135" i="196"/>
  <c r="V134" i="196"/>
  <c r="Q134" i="196"/>
  <c r="P134" i="196"/>
  <c r="R134" i="196" s="1"/>
  <c r="T134" i="196" s="1"/>
  <c r="N134" i="196"/>
  <c r="M134" i="196"/>
  <c r="L134" i="196"/>
  <c r="Q133" i="196"/>
  <c r="P133" i="196"/>
  <c r="R133" i="196" s="1"/>
  <c r="T133" i="196" s="1"/>
  <c r="N133" i="196"/>
  <c r="L133" i="196"/>
  <c r="M133" i="196" s="1"/>
  <c r="V132" i="196"/>
  <c r="Q132" i="196"/>
  <c r="P132" i="196"/>
  <c r="R132" i="196" s="1"/>
  <c r="T132" i="196" s="1"/>
  <c r="N132" i="196"/>
  <c r="L132" i="196"/>
  <c r="M132" i="196" s="1"/>
  <c r="V131" i="196"/>
  <c r="Q131" i="196"/>
  <c r="P131" i="196"/>
  <c r="R131" i="196" s="1"/>
  <c r="T131" i="196" s="1"/>
  <c r="N131" i="196"/>
  <c r="L131" i="196"/>
  <c r="M131" i="196" s="1"/>
  <c r="Q130" i="196"/>
  <c r="P130" i="196"/>
  <c r="R130" i="196" s="1"/>
  <c r="T130" i="196" s="1"/>
  <c r="N130" i="196"/>
  <c r="L130" i="196"/>
  <c r="M130" i="196" s="1"/>
  <c r="Q129" i="196"/>
  <c r="P129" i="196"/>
  <c r="R129" i="196" s="1"/>
  <c r="T129" i="196" s="1"/>
  <c r="N129" i="196"/>
  <c r="L129" i="196"/>
  <c r="M129" i="196" s="1"/>
  <c r="V128" i="196"/>
  <c r="Q128" i="196"/>
  <c r="P128" i="196"/>
  <c r="R128" i="196" s="1"/>
  <c r="T128" i="196" s="1"/>
  <c r="N128" i="196"/>
  <c r="L128" i="196"/>
  <c r="Q126" i="196"/>
  <c r="P126" i="196"/>
  <c r="R126" i="196" s="1"/>
  <c r="T126" i="196" s="1"/>
  <c r="N126" i="196"/>
  <c r="L126" i="196"/>
  <c r="M126" i="196" s="1"/>
  <c r="V125" i="196"/>
  <c r="Q125" i="196"/>
  <c r="P125" i="196"/>
  <c r="R125" i="196" s="1"/>
  <c r="T125" i="196" s="1"/>
  <c r="N125" i="196"/>
  <c r="L125" i="196"/>
  <c r="M125" i="196" s="1"/>
  <c r="V124" i="196"/>
  <c r="Q124" i="196"/>
  <c r="P124" i="196"/>
  <c r="R124" i="196" s="1"/>
  <c r="T124" i="196" s="1"/>
  <c r="N124" i="196"/>
  <c r="L124" i="196"/>
  <c r="M124" i="196" s="1"/>
  <c r="Q123" i="196"/>
  <c r="P123" i="196"/>
  <c r="R123" i="196" s="1"/>
  <c r="T123" i="196" s="1"/>
  <c r="N123" i="196"/>
  <c r="L123" i="196"/>
  <c r="M123" i="196" s="1"/>
  <c r="Q122" i="196"/>
  <c r="P122" i="196"/>
  <c r="R122" i="196" s="1"/>
  <c r="T122" i="196" s="1"/>
  <c r="N122" i="196"/>
  <c r="L122" i="196"/>
  <c r="M122" i="196" s="1"/>
  <c r="N120" i="196"/>
  <c r="N135" i="196" s="1"/>
  <c r="N121" i="196" s="1"/>
  <c r="J120" i="196"/>
  <c r="J135" i="196" s="1"/>
  <c r="L119" i="196"/>
  <c r="P118" i="196"/>
  <c r="R118" i="196" s="1"/>
  <c r="T118" i="196" s="1"/>
  <c r="N118" i="196"/>
  <c r="V118" i="196" s="1"/>
  <c r="L118" i="196"/>
  <c r="M118" i="196" s="1"/>
  <c r="V117" i="196"/>
  <c r="N117" i="196"/>
  <c r="P117" i="196" s="1"/>
  <c r="R117" i="196" s="1"/>
  <c r="T117" i="196" s="1"/>
  <c r="M117" i="196"/>
  <c r="L117" i="196"/>
  <c r="M116" i="196"/>
  <c r="L116" i="196"/>
  <c r="L115" i="196"/>
  <c r="P114" i="196"/>
  <c r="R114" i="196" s="1"/>
  <c r="T114" i="196" s="1"/>
  <c r="N114" i="196"/>
  <c r="V114" i="196" s="1"/>
  <c r="L114" i="196"/>
  <c r="M114" i="196" s="1"/>
  <c r="V113" i="196"/>
  <c r="N113" i="196"/>
  <c r="P113" i="196" s="1"/>
  <c r="R113" i="196" s="1"/>
  <c r="T113" i="196" s="1"/>
  <c r="M113" i="196"/>
  <c r="L113" i="196"/>
  <c r="L111" i="196"/>
  <c r="P110" i="196"/>
  <c r="R110" i="196" s="1"/>
  <c r="T110" i="196" s="1"/>
  <c r="N110" i="196"/>
  <c r="V110" i="196" s="1"/>
  <c r="L110" i="196"/>
  <c r="M110" i="196" s="1"/>
  <c r="N109" i="196"/>
  <c r="P109" i="196" s="1"/>
  <c r="R109" i="196" s="1"/>
  <c r="T109" i="196" s="1"/>
  <c r="M109" i="196"/>
  <c r="L109" i="196"/>
  <c r="M108" i="196"/>
  <c r="L108" i="196"/>
  <c r="L107" i="196"/>
  <c r="V105" i="196"/>
  <c r="J105" i="196"/>
  <c r="I105" i="196"/>
  <c r="V104" i="196"/>
  <c r="W103" i="196"/>
  <c r="V103" i="196"/>
  <c r="K103" i="196"/>
  <c r="J103" i="196"/>
  <c r="I103" i="196"/>
  <c r="I100" i="196" s="1"/>
  <c r="I93" i="196" s="1"/>
  <c r="V102" i="196"/>
  <c r="W101" i="196"/>
  <c r="V101" i="196"/>
  <c r="W100" i="196"/>
  <c r="U100" i="196"/>
  <c r="T100" i="196"/>
  <c r="S100" i="196"/>
  <c r="R100" i="196"/>
  <c r="Q100" i="196"/>
  <c r="P100" i="196"/>
  <c r="O100" i="196"/>
  <c r="N100" i="196"/>
  <c r="V100" i="196" s="1"/>
  <c r="M100" i="196"/>
  <c r="L100" i="196"/>
  <c r="K100" i="196"/>
  <c r="J100" i="196"/>
  <c r="V99" i="196"/>
  <c r="V98" i="196"/>
  <c r="O98" i="196"/>
  <c r="N98" i="196"/>
  <c r="P98" i="196" s="1"/>
  <c r="R98" i="196" s="1"/>
  <c r="T98" i="196" s="1"/>
  <c r="L98" i="196"/>
  <c r="M98" i="196" s="1"/>
  <c r="V97" i="196"/>
  <c r="O97" i="196"/>
  <c r="N97" i="196"/>
  <c r="P97" i="196" s="1"/>
  <c r="R97" i="196" s="1"/>
  <c r="T97" i="196" s="1"/>
  <c r="L97" i="196"/>
  <c r="M97" i="196" s="1"/>
  <c r="V96" i="196"/>
  <c r="O96" i="196"/>
  <c r="N96" i="196"/>
  <c r="P96" i="196" s="1"/>
  <c r="R96" i="196" s="1"/>
  <c r="T96" i="196" s="1"/>
  <c r="L96" i="196"/>
  <c r="M96" i="196" s="1"/>
  <c r="O95" i="196"/>
  <c r="N95" i="196"/>
  <c r="P95" i="196" s="1"/>
  <c r="L95" i="196"/>
  <c r="M95" i="196" s="1"/>
  <c r="M94" i="196" s="1"/>
  <c r="M93" i="196" s="1"/>
  <c r="W94" i="196"/>
  <c r="W93" i="196" s="1"/>
  <c r="U94" i="196"/>
  <c r="S94" i="196"/>
  <c r="Q94" i="196"/>
  <c r="O94" i="196"/>
  <c r="O93" i="196" s="1"/>
  <c r="N94" i="196"/>
  <c r="L94" i="196"/>
  <c r="K94" i="196"/>
  <c r="J94" i="196"/>
  <c r="I94" i="196"/>
  <c r="U93" i="196"/>
  <c r="Q93" i="196"/>
  <c r="N93" i="196"/>
  <c r="L93" i="196"/>
  <c r="J93" i="196"/>
  <c r="J112" i="196" s="1"/>
  <c r="J127" i="196" s="1"/>
  <c r="J121" i="196" s="1"/>
  <c r="W92" i="196"/>
  <c r="W120" i="196" s="1"/>
  <c r="O92" i="196"/>
  <c r="O120" i="196" s="1"/>
  <c r="O135" i="196" s="1"/>
  <c r="N92" i="196"/>
  <c r="M92" i="196"/>
  <c r="M120" i="196" s="1"/>
  <c r="M135" i="196" s="1"/>
  <c r="M121" i="196" s="1"/>
  <c r="L92" i="196"/>
  <c r="L120" i="196" s="1"/>
  <c r="K92" i="196"/>
  <c r="K120" i="196" s="1"/>
  <c r="K135" i="196" s="1"/>
  <c r="J92" i="196"/>
  <c r="I92" i="196"/>
  <c r="I120" i="196" s="1"/>
  <c r="I135" i="196" s="1"/>
  <c r="I121" i="196" s="1"/>
  <c r="P91" i="196"/>
  <c r="R91" i="196" s="1"/>
  <c r="T91" i="196" s="1"/>
  <c r="N91" i="196"/>
  <c r="V91" i="196" s="1"/>
  <c r="M91" i="196"/>
  <c r="L91" i="196"/>
  <c r="N90" i="196"/>
  <c r="P90" i="196" s="1"/>
  <c r="R90" i="196" s="1"/>
  <c r="T90" i="196" s="1"/>
  <c r="M90" i="196"/>
  <c r="L90" i="196"/>
  <c r="M89" i="196"/>
  <c r="L89" i="196"/>
  <c r="L88" i="196"/>
  <c r="P87" i="196"/>
  <c r="R87" i="196" s="1"/>
  <c r="T87" i="196" s="1"/>
  <c r="N87" i="196"/>
  <c r="M87" i="196"/>
  <c r="L87" i="196"/>
  <c r="V86" i="196"/>
  <c r="N86" i="196"/>
  <c r="P86" i="196" s="1"/>
  <c r="R86" i="196" s="1"/>
  <c r="T86" i="196" s="1"/>
  <c r="M86" i="196"/>
  <c r="L86" i="196"/>
  <c r="M85" i="196"/>
  <c r="L85" i="196"/>
  <c r="Q84" i="196"/>
  <c r="M84" i="196"/>
  <c r="K84" i="196"/>
  <c r="J84" i="196"/>
  <c r="I84" i="196"/>
  <c r="P83" i="196"/>
  <c r="R83" i="196" s="1"/>
  <c r="T83" i="196" s="1"/>
  <c r="N83" i="196"/>
  <c r="M83" i="196"/>
  <c r="L83" i="196"/>
  <c r="V82" i="196"/>
  <c r="N82" i="196"/>
  <c r="P82" i="196" s="1"/>
  <c r="R82" i="196" s="1"/>
  <c r="T82" i="196" s="1"/>
  <c r="M82" i="196"/>
  <c r="L82" i="196"/>
  <c r="M81" i="196"/>
  <c r="L81" i="196"/>
  <c r="L80" i="196"/>
  <c r="P79" i="196"/>
  <c r="N79" i="196"/>
  <c r="M79" i="196"/>
  <c r="L79" i="196"/>
  <c r="K78" i="196"/>
  <c r="J78" i="196"/>
  <c r="M77" i="196"/>
  <c r="L77" i="196"/>
  <c r="L76" i="196"/>
  <c r="N75" i="196"/>
  <c r="M75" i="196"/>
  <c r="L75" i="196"/>
  <c r="W74" i="196"/>
  <c r="U74" i="196"/>
  <c r="S74" i="196"/>
  <c r="Q74" i="196"/>
  <c r="O74" i="196"/>
  <c r="K74" i="196"/>
  <c r="L74" i="196" s="1"/>
  <c r="M74" i="196" s="1"/>
  <c r="J74" i="196"/>
  <c r="I74" i="196"/>
  <c r="P72" i="196"/>
  <c r="W71" i="196"/>
  <c r="O71" i="196"/>
  <c r="L71" i="196"/>
  <c r="V69" i="196"/>
  <c r="U69" i="196"/>
  <c r="U67" i="196" s="1"/>
  <c r="S69" i="196"/>
  <c r="Q69" i="196"/>
  <c r="O69" i="196"/>
  <c r="W69" i="196" s="1"/>
  <c r="V68" i="196"/>
  <c r="U68" i="196"/>
  <c r="S68" i="196"/>
  <c r="W68" i="196" s="1"/>
  <c r="T67" i="196"/>
  <c r="T193" i="196" s="1"/>
  <c r="U193" i="196" s="1"/>
  <c r="S67" i="196"/>
  <c r="S193" i="196" s="1"/>
  <c r="R67" i="196"/>
  <c r="R193" i="196" s="1"/>
  <c r="Q67" i="196"/>
  <c r="Q193" i="196" s="1"/>
  <c r="P67" i="196"/>
  <c r="P193" i="196" s="1"/>
  <c r="N67" i="196"/>
  <c r="N193" i="196" s="1"/>
  <c r="L67" i="196"/>
  <c r="L193" i="196" s="1"/>
  <c r="K67" i="196"/>
  <c r="K193" i="196" s="1"/>
  <c r="J67" i="196"/>
  <c r="J193" i="196" s="1"/>
  <c r="I67" i="196"/>
  <c r="I193" i="196" s="1"/>
  <c r="N66" i="196"/>
  <c r="U65" i="196"/>
  <c r="S65" i="196"/>
  <c r="S191" i="196" s="1"/>
  <c r="Q65" i="196"/>
  <c r="Q191" i="196" s="1"/>
  <c r="Q192" i="196" s="1"/>
  <c r="L65" i="196"/>
  <c r="L191" i="196" s="1"/>
  <c r="O64" i="196"/>
  <c r="O59" i="196" s="1"/>
  <c r="N64" i="196"/>
  <c r="P64" i="196" s="1"/>
  <c r="R64" i="196" s="1"/>
  <c r="T64" i="196" s="1"/>
  <c r="L64" i="196"/>
  <c r="O63" i="196"/>
  <c r="N63" i="196"/>
  <c r="P63" i="196" s="1"/>
  <c r="R63" i="196" s="1"/>
  <c r="T63" i="196" s="1"/>
  <c r="L63" i="196"/>
  <c r="O62" i="196"/>
  <c r="L62" i="196"/>
  <c r="W61" i="196"/>
  <c r="V61" i="196"/>
  <c r="O60" i="196"/>
  <c r="N60" i="196"/>
  <c r="L60" i="196"/>
  <c r="U59" i="196"/>
  <c r="S59" i="196"/>
  <c r="Q59" i="196"/>
  <c r="M59" i="196"/>
  <c r="L59" i="196"/>
  <c r="K59" i="196"/>
  <c r="J59" i="196"/>
  <c r="I59" i="196"/>
  <c r="V58" i="196"/>
  <c r="P58" i="196"/>
  <c r="R58" i="196" s="1"/>
  <c r="T58" i="196" s="1"/>
  <c r="O58" i="196"/>
  <c r="N58" i="196"/>
  <c r="L58" i="196"/>
  <c r="V57" i="196"/>
  <c r="U57" i="196"/>
  <c r="S57" i="196"/>
  <c r="Q57" i="196"/>
  <c r="Q195" i="196" s="1"/>
  <c r="V56" i="196"/>
  <c r="P56" i="196"/>
  <c r="R56" i="196" s="1"/>
  <c r="T56" i="196" s="1"/>
  <c r="O56" i="196"/>
  <c r="N56" i="196"/>
  <c r="L56" i="196"/>
  <c r="T55" i="196"/>
  <c r="O55" i="196"/>
  <c r="N55" i="196"/>
  <c r="P55" i="196" s="1"/>
  <c r="R55" i="196" s="1"/>
  <c r="L55" i="196"/>
  <c r="V54" i="196"/>
  <c r="W53" i="196"/>
  <c r="W52" i="196" s="1"/>
  <c r="U53" i="196"/>
  <c r="S53" i="196"/>
  <c r="S52" i="196" s="1"/>
  <c r="S50" i="196" s="1"/>
  <c r="Q53" i="196"/>
  <c r="O53" i="196"/>
  <c r="N53" i="196"/>
  <c r="P53" i="196" s="1"/>
  <c r="R53" i="196" s="1"/>
  <c r="T53" i="196" s="1"/>
  <c r="L53" i="196"/>
  <c r="K53" i="196"/>
  <c r="J53" i="196"/>
  <c r="J52" i="196" s="1"/>
  <c r="J50" i="196" s="1"/>
  <c r="I53" i="196"/>
  <c r="I52" i="196" s="1"/>
  <c r="I50" i="196" s="1"/>
  <c r="U52" i="196"/>
  <c r="U50" i="196" s="1"/>
  <c r="Q52" i="196"/>
  <c r="O52" i="196"/>
  <c r="L52" i="196"/>
  <c r="K52" i="196"/>
  <c r="K50" i="196" s="1"/>
  <c r="V51" i="196"/>
  <c r="T51" i="196"/>
  <c r="O51" i="196"/>
  <c r="N51" i="196"/>
  <c r="P51" i="196" s="1"/>
  <c r="R51" i="196" s="1"/>
  <c r="L51" i="196"/>
  <c r="M50" i="196"/>
  <c r="L50" i="196"/>
  <c r="R49" i="196"/>
  <c r="Q49" i="196"/>
  <c r="Q92" i="196" s="1"/>
  <c r="Q120" i="196" s="1"/>
  <c r="Q135" i="196" s="1"/>
  <c r="Q121" i="196" s="1"/>
  <c r="P49" i="196"/>
  <c r="P92" i="196" s="1"/>
  <c r="P120" i="196" s="1"/>
  <c r="P135" i="196" s="1"/>
  <c r="P121" i="196" s="1"/>
  <c r="O48" i="196"/>
  <c r="L48" i="196"/>
  <c r="N48" i="196" s="1"/>
  <c r="P48" i="196" s="1"/>
  <c r="R48" i="196" s="1"/>
  <c r="T48" i="196" s="1"/>
  <c r="O47" i="196"/>
  <c r="L47" i="196"/>
  <c r="O45" i="196"/>
  <c r="N45" i="196"/>
  <c r="L45" i="196"/>
  <c r="R44" i="196"/>
  <c r="T44" i="196" s="1"/>
  <c r="O44" i="196"/>
  <c r="N44" i="196"/>
  <c r="P44" i="196" s="1"/>
  <c r="L44" i="196"/>
  <c r="O43" i="196"/>
  <c r="N43" i="196"/>
  <c r="P43" i="196" s="1"/>
  <c r="R43" i="196" s="1"/>
  <c r="T43" i="196" s="1"/>
  <c r="L43" i="196"/>
  <c r="P42" i="196"/>
  <c r="R42" i="196" s="1"/>
  <c r="T42" i="196" s="1"/>
  <c r="O42" i="196"/>
  <c r="N42" i="196"/>
  <c r="V42" i="196" s="1"/>
  <c r="L42" i="196"/>
  <c r="U41" i="196"/>
  <c r="T41" i="196"/>
  <c r="T84" i="196" s="1"/>
  <c r="S41" i="196"/>
  <c r="R41" i="196"/>
  <c r="R84" i="196" s="1"/>
  <c r="Q41" i="196"/>
  <c r="P41" i="196"/>
  <c r="P84" i="196" s="1"/>
  <c r="O41" i="196"/>
  <c r="O84" i="196" s="1"/>
  <c r="O112" i="196" s="1"/>
  <c r="O127" i="196" s="1"/>
  <c r="N41" i="196"/>
  <c r="N84" i="196" s="1"/>
  <c r="N78" i="196" s="1"/>
  <c r="N106" i="196" s="1"/>
  <c r="N136" i="196" s="1"/>
  <c r="N142" i="196" s="1"/>
  <c r="M41" i="196"/>
  <c r="L41" i="196"/>
  <c r="L84" i="196" s="1"/>
  <c r="N40" i="196"/>
  <c r="P40" i="196" s="1"/>
  <c r="M40" i="196"/>
  <c r="L40" i="196"/>
  <c r="M39" i="196"/>
  <c r="L39" i="196"/>
  <c r="L38" i="196"/>
  <c r="P37" i="196"/>
  <c r="R37" i="196" s="1"/>
  <c r="T37" i="196" s="1"/>
  <c r="N37" i="196"/>
  <c r="V37" i="196" s="1"/>
  <c r="L37" i="196"/>
  <c r="M37" i="196" s="1"/>
  <c r="N36" i="196"/>
  <c r="M36" i="196"/>
  <c r="L36" i="196"/>
  <c r="R35" i="196"/>
  <c r="R351" i="196" s="1"/>
  <c r="Q35" i="196"/>
  <c r="Q351" i="196" s="1"/>
  <c r="P35" i="196"/>
  <c r="N35" i="196"/>
  <c r="M35" i="196"/>
  <c r="M351" i="196" s="1"/>
  <c r="L35" i="196"/>
  <c r="K35" i="196"/>
  <c r="J35" i="196"/>
  <c r="J351" i="196" s="1"/>
  <c r="I35" i="196"/>
  <c r="I351" i="196" s="1"/>
  <c r="T34" i="196"/>
  <c r="V34" i="196" s="1"/>
  <c r="V181" i="196" s="1"/>
  <c r="S34" i="196"/>
  <c r="U34" i="196" s="1"/>
  <c r="R34" i="196"/>
  <c r="M33" i="196"/>
  <c r="L33" i="196"/>
  <c r="L32" i="196"/>
  <c r="P31" i="196"/>
  <c r="R31" i="196" s="1"/>
  <c r="T31" i="196" s="1"/>
  <c r="N31" i="196"/>
  <c r="V31" i="196" s="1"/>
  <c r="L31" i="196"/>
  <c r="M31" i="196" s="1"/>
  <c r="N30" i="196"/>
  <c r="M30" i="196"/>
  <c r="L30" i="196"/>
  <c r="M29" i="196"/>
  <c r="M20" i="196" s="1"/>
  <c r="L29" i="196"/>
  <c r="L28" i="196"/>
  <c r="P27" i="196"/>
  <c r="R27" i="196" s="1"/>
  <c r="T27" i="196" s="1"/>
  <c r="N27" i="196"/>
  <c r="L27" i="196"/>
  <c r="M27" i="196" s="1"/>
  <c r="W26" i="196"/>
  <c r="V26" i="196"/>
  <c r="V170" i="196" s="1"/>
  <c r="V308" i="196" s="1"/>
  <c r="V302" i="196" s="1"/>
  <c r="U26" i="196"/>
  <c r="U170" i="196" s="1"/>
  <c r="S26" i="196"/>
  <c r="V25" i="196"/>
  <c r="V24" i="196"/>
  <c r="V23" i="196"/>
  <c r="V22" i="196"/>
  <c r="V21" i="196"/>
  <c r="S20" i="196"/>
  <c r="Q20" i="196"/>
  <c r="O20" i="196"/>
  <c r="L20" i="196"/>
  <c r="K20" i="196"/>
  <c r="J20" i="196"/>
  <c r="I20" i="196"/>
  <c r="V40" i="196" l="1"/>
  <c r="R40" i="196"/>
  <c r="T40" i="196" s="1"/>
  <c r="U181" i="196"/>
  <c r="U92" i="196"/>
  <c r="U120" i="196" s="1"/>
  <c r="U135" i="196" s="1"/>
  <c r="U20" i="196"/>
  <c r="V27" i="196"/>
  <c r="V36" i="196"/>
  <c r="V75" i="196"/>
  <c r="W351" i="196"/>
  <c r="N47" i="196"/>
  <c r="P47" i="196" s="1"/>
  <c r="R47" i="196" s="1"/>
  <c r="T47" i="196" s="1"/>
  <c r="P197" i="196"/>
  <c r="R72" i="196"/>
  <c r="I112" i="196"/>
  <c r="I78" i="196"/>
  <c r="I106" i="196" s="1"/>
  <c r="N168" i="196"/>
  <c r="P168" i="196" s="1"/>
  <c r="N351" i="196"/>
  <c r="S170" i="196"/>
  <c r="S84" i="196"/>
  <c r="M28" i="196"/>
  <c r="N29" i="196"/>
  <c r="P30" i="196"/>
  <c r="R30" i="196" s="1"/>
  <c r="T30" i="196" s="1"/>
  <c r="M32" i="196"/>
  <c r="N33" i="196"/>
  <c r="P33" i="196" s="1"/>
  <c r="R33" i="196" s="1"/>
  <c r="T33" i="196" s="1"/>
  <c r="K351" i="196"/>
  <c r="K73" i="196"/>
  <c r="O35" i="196"/>
  <c r="P36" i="196"/>
  <c r="R36" i="196" s="1"/>
  <c r="T36" i="196" s="1"/>
  <c r="M38" i="196"/>
  <c r="N39" i="196"/>
  <c r="P39" i="196" s="1"/>
  <c r="R39" i="196" s="1"/>
  <c r="T39" i="196" s="1"/>
  <c r="L112" i="196"/>
  <c r="V84" i="196"/>
  <c r="L78" i="196"/>
  <c r="O50" i="196"/>
  <c r="V55" i="196"/>
  <c r="W59" i="196"/>
  <c r="P66" i="196"/>
  <c r="R66" i="196" s="1"/>
  <c r="M73" i="196"/>
  <c r="P75" i="196"/>
  <c r="R75" i="196" s="1"/>
  <c r="T75" i="196" s="1"/>
  <c r="U84" i="196"/>
  <c r="N88" i="196"/>
  <c r="P88" i="196" s="1"/>
  <c r="R88" i="196" s="1"/>
  <c r="T88" i="196" s="1"/>
  <c r="M88" i="196"/>
  <c r="V90" i="196"/>
  <c r="K93" i="196"/>
  <c r="N112" i="196"/>
  <c r="V122" i="196"/>
  <c r="V126" i="196"/>
  <c r="V129" i="196"/>
  <c r="V133" i="196"/>
  <c r="N153" i="196"/>
  <c r="P153" i="196" s="1"/>
  <c r="R153" i="196" s="1"/>
  <c r="T153" i="196" s="1"/>
  <c r="M153" i="196"/>
  <c r="I308" i="196"/>
  <c r="I302" i="196" s="1"/>
  <c r="I164" i="196"/>
  <c r="W41" i="196"/>
  <c r="W35" i="196" s="1"/>
  <c r="V48" i="196"/>
  <c r="P60" i="196"/>
  <c r="L192" i="196"/>
  <c r="V191" i="196"/>
  <c r="J73" i="196"/>
  <c r="O78" i="196"/>
  <c r="O106" i="196" s="1"/>
  <c r="Q112" i="196"/>
  <c r="Q78" i="196"/>
  <c r="Q106" i="196" s="1"/>
  <c r="L121" i="196"/>
  <c r="U164" i="196"/>
  <c r="N28" i="196"/>
  <c r="P28" i="196" s="1"/>
  <c r="R28" i="196" s="1"/>
  <c r="T28" i="196" s="1"/>
  <c r="N32" i="196"/>
  <c r="P32" i="196" s="1"/>
  <c r="R32" i="196" s="1"/>
  <c r="T32" i="196" s="1"/>
  <c r="R181" i="196"/>
  <c r="R164" i="196" s="1"/>
  <c r="R92" i="196"/>
  <c r="R120" i="196" s="1"/>
  <c r="L351" i="196"/>
  <c r="L73" i="196"/>
  <c r="P351" i="196"/>
  <c r="N38" i="196"/>
  <c r="P38" i="196" s="1"/>
  <c r="R38" i="196" s="1"/>
  <c r="T38" i="196" s="1"/>
  <c r="V44" i="196"/>
  <c r="P45" i="196"/>
  <c r="R45" i="196" s="1"/>
  <c r="T45" i="196" s="1"/>
  <c r="N52" i="196"/>
  <c r="V53" i="196"/>
  <c r="N62" i="196"/>
  <c r="P62" i="196" s="1"/>
  <c r="R62" i="196" s="1"/>
  <c r="T62" i="196" s="1"/>
  <c r="V63" i="196"/>
  <c r="S192" i="196"/>
  <c r="W67" i="196"/>
  <c r="N77" i="196"/>
  <c r="J106" i="196"/>
  <c r="R79" i="196"/>
  <c r="P78" i="196"/>
  <c r="P106" i="196" s="1"/>
  <c r="V83" i="196"/>
  <c r="K112" i="196"/>
  <c r="K127" i="196" s="1"/>
  <c r="K121" i="196" s="1"/>
  <c r="S93" i="196"/>
  <c r="R95" i="196"/>
  <c r="P94" i="196"/>
  <c r="P93" i="196" s="1"/>
  <c r="N107" i="196"/>
  <c r="P107" i="196" s="1"/>
  <c r="R107" i="196" s="1"/>
  <c r="T107" i="196" s="1"/>
  <c r="M107" i="196"/>
  <c r="V109" i="196"/>
  <c r="N111" i="196"/>
  <c r="P111" i="196" s="1"/>
  <c r="R111" i="196" s="1"/>
  <c r="T111" i="196" s="1"/>
  <c r="M111" i="196"/>
  <c r="O121" i="196"/>
  <c r="V123" i="196"/>
  <c r="V130" i="196"/>
  <c r="V137" i="196"/>
  <c r="N145" i="196"/>
  <c r="P145" i="196" s="1"/>
  <c r="R145" i="196" s="1"/>
  <c r="T145" i="196" s="1"/>
  <c r="M145" i="196"/>
  <c r="V147" i="196"/>
  <c r="V402" i="196"/>
  <c r="L396" i="196"/>
  <c r="T181" i="196"/>
  <c r="T92" i="196"/>
  <c r="T120" i="196" s="1"/>
  <c r="T135" i="196" s="1"/>
  <c r="W20" i="196"/>
  <c r="S181" i="196"/>
  <c r="N157" i="196"/>
  <c r="V41" i="196"/>
  <c r="V43" i="196"/>
  <c r="T49" i="196"/>
  <c r="U49" i="196" s="1"/>
  <c r="U35" i="196" s="1"/>
  <c r="S49" i="196"/>
  <c r="S35" i="196" s="1"/>
  <c r="W50" i="196"/>
  <c r="W57" i="196"/>
  <c r="V64" i="196"/>
  <c r="N71" i="196"/>
  <c r="P71" i="196" s="1"/>
  <c r="R71" i="196" s="1"/>
  <c r="T71" i="196" s="1"/>
  <c r="I73" i="196"/>
  <c r="Q73" i="196"/>
  <c r="N76" i="196"/>
  <c r="P76" i="196" s="1"/>
  <c r="R76" i="196" s="1"/>
  <c r="T76" i="196" s="1"/>
  <c r="M76" i="196"/>
  <c r="K106" i="196"/>
  <c r="N80" i="196"/>
  <c r="P80" i="196" s="1"/>
  <c r="R80" i="196" s="1"/>
  <c r="T80" i="196" s="1"/>
  <c r="M80" i="196"/>
  <c r="M112" i="196"/>
  <c r="M78" i="196"/>
  <c r="M106" i="196" s="1"/>
  <c r="V87" i="196"/>
  <c r="N115" i="196"/>
  <c r="P115" i="196" s="1"/>
  <c r="R115" i="196" s="1"/>
  <c r="T115" i="196" s="1"/>
  <c r="M115" i="196"/>
  <c r="V119" i="196"/>
  <c r="N119" i="196"/>
  <c r="P119" i="196" s="1"/>
  <c r="R119" i="196" s="1"/>
  <c r="T119" i="196" s="1"/>
  <c r="M119" i="196"/>
  <c r="N139" i="196"/>
  <c r="P139" i="196" s="1"/>
  <c r="R139" i="196" s="1"/>
  <c r="T139" i="196" s="1"/>
  <c r="V139" i="196"/>
  <c r="M139" i="196"/>
  <c r="N166" i="196"/>
  <c r="P166" i="196" s="1"/>
  <c r="V65" i="196"/>
  <c r="N81" i="196"/>
  <c r="P81" i="196" s="1"/>
  <c r="R81" i="196" s="1"/>
  <c r="T81" i="196" s="1"/>
  <c r="N85" i="196"/>
  <c r="P85" i="196" s="1"/>
  <c r="R85" i="196" s="1"/>
  <c r="T85" i="196" s="1"/>
  <c r="N89" i="196"/>
  <c r="P89" i="196" s="1"/>
  <c r="R89" i="196" s="1"/>
  <c r="T89" i="196" s="1"/>
  <c r="N108" i="196"/>
  <c r="P108" i="196" s="1"/>
  <c r="R108" i="196" s="1"/>
  <c r="T108" i="196" s="1"/>
  <c r="N116" i="196"/>
  <c r="P116" i="196" s="1"/>
  <c r="R116" i="196" s="1"/>
  <c r="T116" i="196" s="1"/>
  <c r="N144" i="196"/>
  <c r="P144" i="196" s="1"/>
  <c r="R144" i="196" s="1"/>
  <c r="T144" i="196" s="1"/>
  <c r="M144" i="196"/>
  <c r="N149" i="196"/>
  <c r="P149" i="196" s="1"/>
  <c r="R149" i="196" s="1"/>
  <c r="T149" i="196" s="1"/>
  <c r="V150" i="196"/>
  <c r="N152" i="196"/>
  <c r="P152" i="196" s="1"/>
  <c r="M152" i="196"/>
  <c r="V167" i="196"/>
  <c r="V169" i="196"/>
  <c r="T174" i="196"/>
  <c r="R174" i="196"/>
  <c r="V174" i="196" s="1"/>
  <c r="T198" i="196"/>
  <c r="U198" i="196" s="1"/>
  <c r="R198" i="196"/>
  <c r="V198" i="196" s="1"/>
  <c r="N220" i="196"/>
  <c r="L219" i="196"/>
  <c r="T268" i="196"/>
  <c r="R268" i="196"/>
  <c r="W65" i="196"/>
  <c r="V193" i="196"/>
  <c r="V67" i="196"/>
  <c r="V140" i="196"/>
  <c r="N148" i="196"/>
  <c r="P148" i="196" s="1"/>
  <c r="R148" i="196" s="1"/>
  <c r="T148" i="196" s="1"/>
  <c r="M148" i="196"/>
  <c r="M149" i="196"/>
  <c r="T165" i="196"/>
  <c r="T164" i="196" s="1"/>
  <c r="P164" i="196"/>
  <c r="T171" i="196"/>
  <c r="V171" i="196" s="1"/>
  <c r="R171" i="196"/>
  <c r="N175" i="196"/>
  <c r="P175" i="196" s="1"/>
  <c r="T190" i="196"/>
  <c r="U190" i="196" s="1"/>
  <c r="R190" i="196"/>
  <c r="V190" i="196" s="1"/>
  <c r="T205" i="196"/>
  <c r="U205" i="196" s="1"/>
  <c r="V205" i="196"/>
  <c r="R205" i="196"/>
  <c r="N230" i="196"/>
  <c r="P230" i="196" s="1"/>
  <c r="N267" i="196"/>
  <c r="P267" i="196" s="1"/>
  <c r="T290" i="196"/>
  <c r="R290" i="196"/>
  <c r="V141" i="196"/>
  <c r="N141" i="196"/>
  <c r="P141" i="196" s="1"/>
  <c r="R141" i="196" s="1"/>
  <c r="T141" i="196" s="1"/>
  <c r="W239" i="196"/>
  <c r="N172" i="196"/>
  <c r="P172" i="196" s="1"/>
  <c r="T173" i="196"/>
  <c r="R173" i="196"/>
  <c r="V173" i="196" s="1"/>
  <c r="N177" i="196"/>
  <c r="P177" i="196" s="1"/>
  <c r="P192" i="196"/>
  <c r="J244" i="196"/>
  <c r="J219" i="196"/>
  <c r="J243" i="196" s="1"/>
  <c r="V221" i="196"/>
  <c r="V244" i="196" s="1"/>
  <c r="R228" i="196"/>
  <c r="V228" i="196" s="1"/>
  <c r="T228" i="196"/>
  <c r="N289" i="196"/>
  <c r="P289" i="196" s="1"/>
  <c r="N369" i="196"/>
  <c r="V208" i="196"/>
  <c r="V207" i="196" s="1"/>
  <c r="M208" i="196"/>
  <c r="W209" i="196"/>
  <c r="N265" i="196"/>
  <c r="P265" i="196" s="1"/>
  <c r="N291" i="196"/>
  <c r="P291" i="196" s="1"/>
  <c r="K370" i="196"/>
  <c r="K369" i="196" s="1"/>
  <c r="K409" i="196"/>
  <c r="L164" i="196"/>
  <c r="V195" i="196"/>
  <c r="P200" i="196"/>
  <c r="V202" i="196"/>
  <c r="N202" i="196"/>
  <c r="P202" i="196" s="1"/>
  <c r="N203" i="196"/>
  <c r="P203" i="196" s="1"/>
  <c r="N207" i="196"/>
  <c r="N240" i="196" s="1"/>
  <c r="N241" i="196" s="1"/>
  <c r="O402" i="196"/>
  <c r="O396" i="196" s="1"/>
  <c r="O395" i="196" s="1"/>
  <c r="O370" i="196" s="1"/>
  <c r="O369" i="196" s="1"/>
  <c r="O207" i="196"/>
  <c r="O240" i="196" s="1"/>
  <c r="O241" i="196" s="1"/>
  <c r="S402" i="196"/>
  <c r="S396" i="196" s="1"/>
  <c r="S395" i="196" s="1"/>
  <c r="S370" i="196" s="1"/>
  <c r="S369" i="196" s="1"/>
  <c r="S207" i="196"/>
  <c r="S240" i="196" s="1"/>
  <c r="S241" i="196" s="1"/>
  <c r="K219" i="196"/>
  <c r="K243" i="196" s="1"/>
  <c r="P238" i="196"/>
  <c r="R242" i="196"/>
  <c r="T242" i="196"/>
  <c r="N273" i="196"/>
  <c r="P273" i="196" s="1"/>
  <c r="T274" i="196"/>
  <c r="V274" i="196" s="1"/>
  <c r="R274" i="196"/>
  <c r="T276" i="196"/>
  <c r="R276" i="196"/>
  <c r="V276" i="196" s="1"/>
  <c r="T192" i="196"/>
  <c r="U192" i="196" s="1"/>
  <c r="T204" i="196"/>
  <c r="U204" i="196" s="1"/>
  <c r="R204" i="196"/>
  <c r="N206" i="196"/>
  <c r="P206" i="196" s="1"/>
  <c r="U207" i="196"/>
  <c r="W219" i="196"/>
  <c r="W243" i="196" s="1"/>
  <c r="W249" i="196" s="1"/>
  <c r="T264" i="196"/>
  <c r="R264" i="196"/>
  <c r="V264" i="196" s="1"/>
  <c r="P266" i="196"/>
  <c r="V268" i="196"/>
  <c r="N275" i="196"/>
  <c r="P275" i="196" s="1"/>
  <c r="I243" i="196"/>
  <c r="M243" i="196"/>
  <c r="Q243" i="196"/>
  <c r="U243" i="196"/>
  <c r="N269" i="196"/>
  <c r="P269" i="196" s="1"/>
  <c r="T270" i="196"/>
  <c r="R270" i="196"/>
  <c r="V270" i="196" s="1"/>
  <c r="N277" i="196"/>
  <c r="P277" i="196" s="1"/>
  <c r="T282" i="196"/>
  <c r="V282" i="196" s="1"/>
  <c r="R282" i="196"/>
  <c r="N183" i="196"/>
  <c r="P183" i="196" s="1"/>
  <c r="N227" i="196"/>
  <c r="P227" i="196" s="1"/>
  <c r="N229" i="196"/>
  <c r="P229" i="196" s="1"/>
  <c r="N231" i="196"/>
  <c r="P231" i="196" s="1"/>
  <c r="N271" i="196"/>
  <c r="P271" i="196" s="1"/>
  <c r="T272" i="196"/>
  <c r="R272" i="196"/>
  <c r="V272" i="196" s="1"/>
  <c r="N287" i="196"/>
  <c r="P287" i="196" s="1"/>
  <c r="T288" i="196"/>
  <c r="R288" i="196"/>
  <c r="V288" i="196" s="1"/>
  <c r="V290" i="196"/>
  <c r="J409" i="196"/>
  <c r="S351" i="196" l="1"/>
  <c r="R275" i="196"/>
  <c r="V275" i="196" s="1"/>
  <c r="T275" i="196"/>
  <c r="T95" i="196"/>
  <c r="T94" i="196" s="1"/>
  <c r="T93" i="196" s="1"/>
  <c r="T112" i="196" s="1"/>
  <c r="T127" i="196" s="1"/>
  <c r="T121" i="196" s="1"/>
  <c r="R94" i="196"/>
  <c r="V95" i="196"/>
  <c r="S66" i="196"/>
  <c r="W66" i="196" s="1"/>
  <c r="T66" i="196"/>
  <c r="U66" i="196" s="1"/>
  <c r="S112" i="196"/>
  <c r="S127" i="196" s="1"/>
  <c r="S78" i="196"/>
  <c r="S106" i="196" s="1"/>
  <c r="V66" i="196"/>
  <c r="R277" i="196"/>
  <c r="T277" i="196"/>
  <c r="R273" i="196"/>
  <c r="T273" i="196"/>
  <c r="P240" i="196"/>
  <c r="P241" i="196" s="1"/>
  <c r="T200" i="196"/>
  <c r="R200" i="196"/>
  <c r="R240" i="196" s="1"/>
  <c r="R241" i="196" s="1"/>
  <c r="V200" i="196"/>
  <c r="V240" i="196" s="1"/>
  <c r="V241" i="196" s="1"/>
  <c r="V203" i="196"/>
  <c r="R230" i="196"/>
  <c r="T230" i="196"/>
  <c r="P220" i="196"/>
  <c r="N219" i="196"/>
  <c r="N243" i="196" s="1"/>
  <c r="V92" i="196"/>
  <c r="R166" i="196"/>
  <c r="V166" i="196" s="1"/>
  <c r="T166" i="196"/>
  <c r="V89" i="196"/>
  <c r="I199" i="196"/>
  <c r="I182" i="196" s="1"/>
  <c r="I70" i="196"/>
  <c r="U351" i="196"/>
  <c r="S92" i="196"/>
  <c r="S120" i="196" s="1"/>
  <c r="S135" i="196" s="1"/>
  <c r="P157" i="196"/>
  <c r="P136" i="196"/>
  <c r="P142" i="196" s="1"/>
  <c r="N50" i="196"/>
  <c r="P52" i="196"/>
  <c r="O157" i="196"/>
  <c r="O136" i="196"/>
  <c r="O142" i="196" s="1"/>
  <c r="O155" i="196" s="1"/>
  <c r="O151" i="196" s="1"/>
  <c r="V192" i="196"/>
  <c r="I249" i="196"/>
  <c r="J248" i="196" s="1"/>
  <c r="I239" i="196"/>
  <c r="I247" i="196" s="1"/>
  <c r="V88" i="196"/>
  <c r="P112" i="196"/>
  <c r="K199" i="196"/>
  <c r="K182" i="196" s="1"/>
  <c r="K239" i="196" s="1"/>
  <c r="K247" i="196" s="1"/>
  <c r="K70" i="196"/>
  <c r="S164" i="196"/>
  <c r="R197" i="196"/>
  <c r="S72" i="196"/>
  <c r="T72" i="196"/>
  <c r="W84" i="196"/>
  <c r="V45" i="196"/>
  <c r="V33" i="196"/>
  <c r="V28" i="196"/>
  <c r="T35" i="196"/>
  <c r="T227" i="196"/>
  <c r="R227" i="196"/>
  <c r="V227" i="196" s="1"/>
  <c r="T266" i="196"/>
  <c r="R266" i="196"/>
  <c r="R175" i="196"/>
  <c r="V175" i="196" s="1"/>
  <c r="T175" i="196"/>
  <c r="L243" i="196"/>
  <c r="K157" i="196"/>
  <c r="K136" i="196"/>
  <c r="K142" i="196" s="1"/>
  <c r="L199" i="196"/>
  <c r="L70" i="196"/>
  <c r="V277" i="196"/>
  <c r="R291" i="196"/>
  <c r="T291" i="196"/>
  <c r="V291" i="196" s="1"/>
  <c r="M402" i="196"/>
  <c r="W208" i="196"/>
  <c r="W207" i="196" s="1"/>
  <c r="W240" i="196" s="1"/>
  <c r="W247" i="196" s="1"/>
  <c r="M207" i="196"/>
  <c r="M240" i="196" s="1"/>
  <c r="M241" i="196" s="1"/>
  <c r="V231" i="196"/>
  <c r="R177" i="196"/>
  <c r="T177" i="196"/>
  <c r="R172" i="196"/>
  <c r="T172" i="196"/>
  <c r="V172" i="196" s="1"/>
  <c r="V230" i="196"/>
  <c r="V144" i="196"/>
  <c r="V396" i="196"/>
  <c r="V395" i="196" s="1"/>
  <c r="L395" i="196"/>
  <c r="L370" i="196" s="1"/>
  <c r="V111" i="196"/>
  <c r="V107" i="196"/>
  <c r="V85" i="196"/>
  <c r="R78" i="196"/>
  <c r="T79" i="196"/>
  <c r="R135" i="196"/>
  <c r="V135" i="196" s="1"/>
  <c r="V120" i="196"/>
  <c r="V108" i="196"/>
  <c r="J199" i="196"/>
  <c r="J182" i="196" s="1"/>
  <c r="J239" i="196" s="1"/>
  <c r="J247" i="196" s="1"/>
  <c r="J70" i="196"/>
  <c r="N59" i="196"/>
  <c r="V153" i="196"/>
  <c r="U112" i="196"/>
  <c r="U127" i="196" s="1"/>
  <c r="U121" i="196" s="1"/>
  <c r="U78" i="196"/>
  <c r="U106" i="196" s="1"/>
  <c r="M199" i="196"/>
  <c r="M182" i="196" s="1"/>
  <c r="M239" i="196" s="1"/>
  <c r="M247" i="196" s="1"/>
  <c r="L106" i="196"/>
  <c r="P29" i="196"/>
  <c r="N20" i="196"/>
  <c r="I136" i="196"/>
  <c r="I142" i="196" s="1"/>
  <c r="I157" i="196"/>
  <c r="V72" i="196"/>
  <c r="V32" i="196"/>
  <c r="R271" i="196"/>
  <c r="V271" i="196" s="1"/>
  <c r="T271" i="196"/>
  <c r="R289" i="196"/>
  <c r="V289" i="196" s="1"/>
  <c r="T289" i="196"/>
  <c r="Q199" i="196"/>
  <c r="Q182" i="196" s="1"/>
  <c r="Q239" i="196" s="1"/>
  <c r="Q247" i="196" s="1"/>
  <c r="Q70" i="196"/>
  <c r="P77" i="196"/>
  <c r="N74" i="196"/>
  <c r="O351" i="196"/>
  <c r="O73" i="196"/>
  <c r="R168" i="196"/>
  <c r="V168" i="196" s="1"/>
  <c r="T168" i="196"/>
  <c r="T183" i="196"/>
  <c r="R183" i="196"/>
  <c r="V266" i="196"/>
  <c r="T238" i="196"/>
  <c r="T232" i="196" s="1"/>
  <c r="R238" i="196"/>
  <c r="R232" i="196" s="1"/>
  <c r="P232" i="196"/>
  <c r="T231" i="196"/>
  <c r="R231" i="196"/>
  <c r="R269" i="196"/>
  <c r="V269" i="196" s="1"/>
  <c r="T269" i="196"/>
  <c r="T206" i="196"/>
  <c r="U206" i="196" s="1"/>
  <c r="R206" i="196"/>
  <c r="V273" i="196"/>
  <c r="R203" i="196"/>
  <c r="T203" i="196"/>
  <c r="U203" i="196" s="1"/>
  <c r="T265" i="196"/>
  <c r="V265" i="196" s="1"/>
  <c r="R265" i="196"/>
  <c r="R287" i="196"/>
  <c r="V287" i="196" s="1"/>
  <c r="T287" i="196"/>
  <c r="T229" i="196"/>
  <c r="R229" i="196"/>
  <c r="V206" i="196"/>
  <c r="R202" i="196"/>
  <c r="T202" i="196"/>
  <c r="U202" i="196" s="1"/>
  <c r="L239" i="196"/>
  <c r="L247" i="196" s="1"/>
  <c r="V183" i="196"/>
  <c r="V177" i="196"/>
  <c r="T267" i="196"/>
  <c r="R267" i="196"/>
  <c r="V148" i="196"/>
  <c r="V165" i="196"/>
  <c r="V164" i="196" s="1"/>
  <c r="P151" i="196"/>
  <c r="R152" i="196"/>
  <c r="V149" i="196"/>
  <c r="V115" i="196"/>
  <c r="M136" i="196"/>
  <c r="M142" i="196" s="1"/>
  <c r="M157" i="196"/>
  <c r="V80" i="196"/>
  <c r="V76" i="196"/>
  <c r="V71" i="196"/>
  <c r="V145" i="196"/>
  <c r="J157" i="196"/>
  <c r="J136" i="196"/>
  <c r="J142" i="196" s="1"/>
  <c r="V62" i="196"/>
  <c r="Q136" i="196"/>
  <c r="Q142" i="196" s="1"/>
  <c r="Q155" i="196" s="1"/>
  <c r="Q151" i="196" s="1"/>
  <c r="Q157" i="196"/>
  <c r="L182" i="196"/>
  <c r="R60" i="196"/>
  <c r="P59" i="196"/>
  <c r="V116" i="196"/>
  <c r="V81" i="196"/>
  <c r="V47" i="196"/>
  <c r="V38" i="196"/>
  <c r="V30" i="196"/>
  <c r="V39" i="196"/>
  <c r="O199" i="196" l="1"/>
  <c r="O182" i="196" s="1"/>
  <c r="O239" i="196" s="1"/>
  <c r="O247" i="196" s="1"/>
  <c r="O70" i="196"/>
  <c r="R29" i="196"/>
  <c r="P20" i="196"/>
  <c r="R59" i="196"/>
  <c r="T60" i="196"/>
  <c r="T59" i="196" s="1"/>
  <c r="V59" i="196" s="1"/>
  <c r="V60" i="196"/>
  <c r="T152" i="196"/>
  <c r="V152" i="196"/>
  <c r="V267" i="196"/>
  <c r="L157" i="196"/>
  <c r="L136" i="196"/>
  <c r="U136" i="196"/>
  <c r="U142" i="196" s="1"/>
  <c r="U155" i="196" s="1"/>
  <c r="U151" i="196" s="1"/>
  <c r="U157" i="196"/>
  <c r="V370" i="196"/>
  <c r="V369" i="196" s="1"/>
  <c r="L369" i="196"/>
  <c r="J249" i="196"/>
  <c r="K248" i="196" s="1"/>
  <c r="K249" i="196" s="1"/>
  <c r="R52" i="196"/>
  <c r="P50" i="196"/>
  <c r="P73" i="196" s="1"/>
  <c r="T240" i="196"/>
  <c r="T241" i="196" s="1"/>
  <c r="U200" i="196"/>
  <c r="U240" i="196" s="1"/>
  <c r="U241" i="196" s="1"/>
  <c r="S121" i="196"/>
  <c r="S136" i="196" s="1"/>
  <c r="S142" i="196" s="1"/>
  <c r="S155" i="196" s="1"/>
  <c r="S151" i="196" s="1"/>
  <c r="W127" i="196"/>
  <c r="W121" i="196" s="1"/>
  <c r="R93" i="196"/>
  <c r="V94" i="196"/>
  <c r="P74" i="196"/>
  <c r="R77" i="196"/>
  <c r="T78" i="196"/>
  <c r="V79" i="196"/>
  <c r="T351" i="196"/>
  <c r="V35" i="196"/>
  <c r="V351" i="196" s="1"/>
  <c r="W112" i="196"/>
  <c r="W78" i="196"/>
  <c r="W106" i="196" s="1"/>
  <c r="N73" i="196"/>
  <c r="S197" i="196"/>
  <c r="W72" i="196"/>
  <c r="S157" i="196"/>
  <c r="V229" i="196"/>
  <c r="V238" i="196"/>
  <c r="V232" i="196"/>
  <c r="W73" i="196"/>
  <c r="W402" i="196"/>
  <c r="M396" i="196"/>
  <c r="T197" i="196"/>
  <c r="U72" i="196"/>
  <c r="U73" i="196" s="1"/>
  <c r="U70" i="196" s="1"/>
  <c r="T220" i="196"/>
  <c r="T219" i="196" s="1"/>
  <c r="T243" i="196" s="1"/>
  <c r="P219" i="196"/>
  <c r="R220" i="196"/>
  <c r="S73" i="196"/>
  <c r="P243" i="196" l="1"/>
  <c r="U197" i="196"/>
  <c r="T52" i="196"/>
  <c r="T50" i="196" s="1"/>
  <c r="T73" i="196" s="1"/>
  <c r="R50" i="196"/>
  <c r="V52" i="196"/>
  <c r="T106" i="196"/>
  <c r="V78" i="196"/>
  <c r="T29" i="196"/>
  <c r="T20" i="196" s="1"/>
  <c r="R20" i="196"/>
  <c r="R112" i="196"/>
  <c r="V93" i="196"/>
  <c r="R106" i="196"/>
  <c r="L142" i="196"/>
  <c r="W70" i="196"/>
  <c r="W157" i="196"/>
  <c r="W136" i="196"/>
  <c r="W142" i="196" s="1"/>
  <c r="M248" i="196"/>
  <c r="M249" i="196" s="1"/>
  <c r="O248" i="196" s="1"/>
  <c r="O249" i="196" s="1"/>
  <c r="Q248" i="196" s="1"/>
  <c r="Q249" i="196" s="1"/>
  <c r="S248" i="196" s="1"/>
  <c r="L248" i="196"/>
  <c r="L249" i="196" s="1"/>
  <c r="N248" i="196" s="1"/>
  <c r="S199" i="196"/>
  <c r="S182" i="196" s="1"/>
  <c r="S239" i="196" s="1"/>
  <c r="S247" i="196" s="1"/>
  <c r="S70" i="196"/>
  <c r="W396" i="196"/>
  <c r="W395" i="196" s="1"/>
  <c r="M395" i="196"/>
  <c r="M370" i="196" s="1"/>
  <c r="R219" i="196"/>
  <c r="R243" i="196" s="1"/>
  <c r="V220" i="196"/>
  <c r="N199" i="196"/>
  <c r="N70" i="196"/>
  <c r="T77" i="196"/>
  <c r="T74" i="196" s="1"/>
  <c r="R74" i="196"/>
  <c r="V74" i="196" s="1"/>
  <c r="P199" i="196"/>
  <c r="P182" i="196" s="1"/>
  <c r="P239" i="196" s="1"/>
  <c r="P247" i="196" s="1"/>
  <c r="P70" i="196"/>
  <c r="V197" i="196"/>
  <c r="V29" i="196"/>
  <c r="V20" i="196" s="1"/>
  <c r="V77" i="196"/>
  <c r="N249" i="196" l="1"/>
  <c r="P248" i="196" s="1"/>
  <c r="P249" i="196" s="1"/>
  <c r="R248" i="196" s="1"/>
  <c r="R73" i="196"/>
  <c r="V50" i="196"/>
  <c r="V219" i="196"/>
  <c r="V243" i="196" s="1"/>
  <c r="R157" i="196"/>
  <c r="V106" i="196"/>
  <c r="V157" i="196" s="1"/>
  <c r="S249" i="196"/>
  <c r="U248" i="196" s="1"/>
  <c r="R127" i="196"/>
  <c r="V112" i="196"/>
  <c r="T199" i="196"/>
  <c r="T70" i="196"/>
  <c r="W370" i="196"/>
  <c r="W369" i="196" s="1"/>
  <c r="M369" i="196"/>
  <c r="N182" i="196"/>
  <c r="N239" i="196" s="1"/>
  <c r="N247" i="196" s="1"/>
  <c r="T157" i="196"/>
  <c r="T136" i="196"/>
  <c r="T142" i="196" s="1"/>
  <c r="T155" i="196" s="1"/>
  <c r="T151" i="196" s="1"/>
  <c r="R121" i="196" l="1"/>
  <c r="V127" i="196"/>
  <c r="R199" i="196"/>
  <c r="R70" i="196"/>
  <c r="V70" i="196" s="1"/>
  <c r="V73" i="196"/>
  <c r="U199" i="196"/>
  <c r="U182" i="196" s="1"/>
  <c r="U239" i="196" s="1"/>
  <c r="U247" i="196" s="1"/>
  <c r="T182" i="196"/>
  <c r="T239" i="196" s="1"/>
  <c r="T247" i="196" s="1"/>
  <c r="R182" i="196" l="1"/>
  <c r="V199" i="196"/>
  <c r="V182" i="196" s="1"/>
  <c r="U249" i="196"/>
  <c r="V121" i="196"/>
  <c r="R136" i="196"/>
  <c r="V239" i="196" l="1"/>
  <c r="V247" i="196" s="1"/>
  <c r="V249" i="196"/>
  <c r="R142" i="196"/>
  <c r="V136" i="196"/>
  <c r="R239" i="196"/>
  <c r="R247" i="196" s="1"/>
  <c r="R249" i="196"/>
  <c r="T248" i="196" s="1"/>
  <c r="T249" i="196" s="1"/>
  <c r="R155" i="196" l="1"/>
  <c r="V142" i="196"/>
  <c r="V155" i="196" l="1"/>
  <c r="R151" i="196"/>
  <c r="V151" i="196" s="1"/>
  <c r="CG57" i="12" l="1"/>
  <c r="CG61" i="12"/>
  <c r="CG65" i="12"/>
  <c r="CG69" i="12"/>
  <c r="CG73" i="12"/>
  <c r="CK54" i="12"/>
  <c r="CG54" i="12" s="1"/>
  <c r="CK55" i="12"/>
  <c r="CG55" i="12" s="1"/>
  <c r="CK56" i="12"/>
  <c r="CG56" i="12" s="1"/>
  <c r="CK57" i="12"/>
  <c r="CK58" i="12"/>
  <c r="CG58" i="12" s="1"/>
  <c r="CK59" i="12"/>
  <c r="CG59" i="12" s="1"/>
  <c r="CK60" i="12"/>
  <c r="CG60" i="12" s="1"/>
  <c r="CK61" i="12"/>
  <c r="CK62" i="12"/>
  <c r="CG62" i="12" s="1"/>
  <c r="CK63" i="12"/>
  <c r="CG63" i="12" s="1"/>
  <c r="CK64" i="12"/>
  <c r="CG64" i="12" s="1"/>
  <c r="CK65" i="12"/>
  <c r="CK66" i="12"/>
  <c r="CG66" i="12" s="1"/>
  <c r="CK67" i="12"/>
  <c r="CG67" i="12" s="1"/>
  <c r="CK68" i="12"/>
  <c r="CG68" i="12" s="1"/>
  <c r="CK69" i="12"/>
  <c r="CK71" i="12"/>
  <c r="CG71" i="12" s="1"/>
  <c r="CK72" i="12"/>
  <c r="CG72" i="12" s="1"/>
  <c r="CK73" i="12"/>
  <c r="CK53" i="12"/>
  <c r="CG53" i="12" s="1"/>
  <c r="CG33" i="12"/>
  <c r="CK24" i="12"/>
  <c r="CK25" i="12"/>
  <c r="CK26" i="12"/>
  <c r="CK27" i="12"/>
  <c r="CK28" i="12"/>
  <c r="CK29" i="12"/>
  <c r="CK30" i="12"/>
  <c r="CK31" i="12"/>
  <c r="CK33" i="12"/>
  <c r="CK34" i="12"/>
  <c r="CG34" i="12" s="1"/>
  <c r="CK35" i="12"/>
  <c r="CK36" i="12"/>
  <c r="CK37" i="12"/>
  <c r="CK38" i="12"/>
  <c r="CK39" i="12"/>
  <c r="CK40" i="12"/>
  <c r="CK41" i="12"/>
  <c r="CK42" i="12"/>
  <c r="CK43" i="12"/>
  <c r="CK44" i="12"/>
  <c r="CK45" i="12"/>
  <c r="CK46" i="12"/>
  <c r="CK47" i="12"/>
  <c r="CK23" i="12"/>
  <c r="BW69" i="12"/>
  <c r="BM31" i="12"/>
  <c r="BL60" i="12"/>
  <c r="BH47" i="12"/>
  <c r="BL47" i="12"/>
  <c r="BL72" i="12"/>
  <c r="F49" i="165" l="1"/>
  <c r="K53" i="165"/>
  <c r="K56" i="165"/>
  <c r="K57" i="165"/>
  <c r="J53" i="165"/>
  <c r="J54" i="165"/>
  <c r="K54" i="165" s="1"/>
  <c r="J55" i="165"/>
  <c r="F55" i="165" s="1"/>
  <c r="J56" i="165"/>
  <c r="J57" i="165"/>
  <c r="F57" i="165" s="1"/>
  <c r="F53" i="165"/>
  <c r="F56" i="165"/>
  <c r="AH46" i="122"/>
  <c r="Q21" i="165"/>
  <c r="Q25" i="165"/>
  <c r="Q26" i="165"/>
  <c r="Q27" i="165"/>
  <c r="Q28" i="165"/>
  <c r="Q29" i="165"/>
  <c r="Q30" i="165"/>
  <c r="Q31" i="165"/>
  <c r="Q20" i="165"/>
  <c r="K24" i="165"/>
  <c r="K28" i="165"/>
  <c r="K32" i="165"/>
  <c r="K36" i="165"/>
  <c r="K40" i="165"/>
  <c r="K44" i="165"/>
  <c r="F22" i="165"/>
  <c r="F38" i="165"/>
  <c r="I44" i="165"/>
  <c r="J22" i="165"/>
  <c r="J24" i="165"/>
  <c r="F24" i="165" s="1"/>
  <c r="J25" i="165"/>
  <c r="F25" i="165" s="1"/>
  <c r="J28" i="165"/>
  <c r="F28" i="165" s="1"/>
  <c r="J29" i="165"/>
  <c r="F29" i="165" s="1"/>
  <c r="J32" i="165"/>
  <c r="F32" i="165" s="1"/>
  <c r="J33" i="165"/>
  <c r="F33" i="165" s="1"/>
  <c r="J35" i="165"/>
  <c r="F35" i="165" s="1"/>
  <c r="J36" i="165"/>
  <c r="F36" i="165" s="1"/>
  <c r="J38" i="165"/>
  <c r="J40" i="165"/>
  <c r="F40" i="165" s="1"/>
  <c r="J41" i="165"/>
  <c r="F41" i="165" s="1"/>
  <c r="J44" i="165"/>
  <c r="F44" i="165" s="1"/>
  <c r="J20" i="165"/>
  <c r="F20" i="165" s="1"/>
  <c r="I68" i="165"/>
  <c r="I69" i="165"/>
  <c r="I70" i="165"/>
  <c r="AM66" i="122"/>
  <c r="AM67" i="122"/>
  <c r="AM50" i="122"/>
  <c r="T50" i="122"/>
  <c r="AG46" i="122"/>
  <c r="AC48" i="122"/>
  <c r="AM48" i="122" s="1"/>
  <c r="X50" i="122"/>
  <c r="S18" i="122"/>
  <c r="S16" i="122"/>
  <c r="AF45" i="122"/>
  <c r="DK52" i="120"/>
  <c r="DK53" i="120"/>
  <c r="DE53" i="120"/>
  <c r="BO53" i="120"/>
  <c r="BU53" i="120"/>
  <c r="BS31" i="120"/>
  <c r="BS48" i="120"/>
  <c r="BE29" i="120"/>
  <c r="BE48" i="120"/>
  <c r="AW20" i="125"/>
  <c r="E74" i="125"/>
  <c r="BD74" i="125" s="1"/>
  <c r="E73" i="125"/>
  <c r="BD73" i="125" s="1"/>
  <c r="AN25" i="115"/>
  <c r="AN41" i="115"/>
  <c r="AN56" i="115"/>
  <c r="AN57" i="115"/>
  <c r="AN60" i="115"/>
  <c r="AN70" i="115"/>
  <c r="AN71" i="115"/>
  <c r="AN72" i="115"/>
  <c r="AN73" i="115"/>
  <c r="P56" i="115"/>
  <c r="P57" i="115"/>
  <c r="P58" i="115"/>
  <c r="CT60" i="125" s="1"/>
  <c r="P59" i="115"/>
  <c r="E61" i="125" s="1"/>
  <c r="P60" i="115"/>
  <c r="AH60" i="115" s="1"/>
  <c r="P25" i="115"/>
  <c r="K22" i="165" s="1"/>
  <c r="P27" i="115"/>
  <c r="AN27" i="115" s="1"/>
  <c r="P28" i="115"/>
  <c r="K25" i="165" s="1"/>
  <c r="P31" i="115"/>
  <c r="AN31" i="115" s="1"/>
  <c r="AJ31" i="115" s="1"/>
  <c r="P32" i="115"/>
  <c r="K29" i="165" s="1"/>
  <c r="P35" i="115"/>
  <c r="AN35" i="115" s="1"/>
  <c r="P36" i="115"/>
  <c r="K33" i="165" s="1"/>
  <c r="P38" i="115"/>
  <c r="K35" i="165" s="1"/>
  <c r="P39" i="115"/>
  <c r="AN39" i="115" s="1"/>
  <c r="P41" i="115"/>
  <c r="K38" i="165" s="1"/>
  <c r="P43" i="115"/>
  <c r="AN43" i="115" s="1"/>
  <c r="P44" i="115"/>
  <c r="AN44" i="115" s="1"/>
  <c r="P47" i="115"/>
  <c r="AN47" i="115" s="1"/>
  <c r="E58" i="125"/>
  <c r="S23" i="12"/>
  <c r="S24" i="12"/>
  <c r="P24" i="115" s="1"/>
  <c r="S26" i="12"/>
  <c r="J23" i="165" s="1"/>
  <c r="F23" i="165" s="1"/>
  <c r="S27" i="12"/>
  <c r="S28" i="12"/>
  <c r="S29" i="12"/>
  <c r="J26" i="165" s="1"/>
  <c r="F26" i="165" s="1"/>
  <c r="S30" i="12"/>
  <c r="J27" i="165" s="1"/>
  <c r="F27" i="165" s="1"/>
  <c r="S31" i="12"/>
  <c r="BR31" i="12" s="1"/>
  <c r="BV31" i="12" s="1"/>
  <c r="S32" i="12"/>
  <c r="S33" i="12"/>
  <c r="J30" i="165" s="1"/>
  <c r="F30" i="165" s="1"/>
  <c r="S34" i="12"/>
  <c r="J31" i="165" s="1"/>
  <c r="F31" i="165" s="1"/>
  <c r="S35" i="12"/>
  <c r="S37" i="12"/>
  <c r="J34" i="165" s="1"/>
  <c r="F34" i="165" s="1"/>
  <c r="S40" i="12"/>
  <c r="P40" i="115" s="1"/>
  <c r="S42" i="12"/>
  <c r="J39" i="165" s="1"/>
  <c r="F39" i="165" s="1"/>
  <c r="S43" i="12"/>
  <c r="S44" i="12"/>
  <c r="S45" i="12"/>
  <c r="J42" i="165" s="1"/>
  <c r="F42" i="165" s="1"/>
  <c r="S46" i="12"/>
  <c r="J43" i="165" s="1"/>
  <c r="F43" i="165" s="1"/>
  <c r="S47" i="12"/>
  <c r="P23" i="12"/>
  <c r="E62" i="125"/>
  <c r="CT58" i="125"/>
  <c r="E72" i="125"/>
  <c r="CT72" i="125"/>
  <c r="CT73" i="125"/>
  <c r="I72" i="115"/>
  <c r="I73" i="115"/>
  <c r="O28" i="115"/>
  <c r="O29" i="115"/>
  <c r="O30" i="115"/>
  <c r="O31" i="115"/>
  <c r="O32" i="115"/>
  <c r="O33" i="115"/>
  <c r="M28" i="115"/>
  <c r="M29" i="115"/>
  <c r="M30" i="115"/>
  <c r="M31" i="115"/>
  <c r="M32" i="115"/>
  <c r="M33" i="115"/>
  <c r="Q57" i="115"/>
  <c r="T57" i="115"/>
  <c r="BD54" i="125" l="1"/>
  <c r="K37" i="165"/>
  <c r="AN40" i="115"/>
  <c r="K21" i="165"/>
  <c r="AN24" i="115"/>
  <c r="J37" i="165"/>
  <c r="F37" i="165" s="1"/>
  <c r="S22" i="12"/>
  <c r="S21" i="12" s="1"/>
  <c r="AN28" i="115"/>
  <c r="E30" i="125" s="1"/>
  <c r="P23" i="115"/>
  <c r="P46" i="115"/>
  <c r="P42" i="115"/>
  <c r="P34" i="115"/>
  <c r="P30" i="115"/>
  <c r="P26" i="115"/>
  <c r="AN59" i="115"/>
  <c r="K55" i="165"/>
  <c r="J21" i="165"/>
  <c r="F21" i="165" s="1"/>
  <c r="AN36" i="115"/>
  <c r="AN32" i="115"/>
  <c r="AL32" i="115" s="1"/>
  <c r="P45" i="115"/>
  <c r="P37" i="115"/>
  <c r="P33" i="115"/>
  <c r="P29" i="115"/>
  <c r="AN58" i="115"/>
  <c r="AN38" i="115"/>
  <c r="F54" i="165"/>
  <c r="K41" i="165"/>
  <c r="CT61" i="125"/>
  <c r="E60" i="125"/>
  <c r="CT62" i="125"/>
  <c r="L30" i="115"/>
  <c r="L32" i="115"/>
  <c r="L31" i="115"/>
  <c r="L33" i="115"/>
  <c r="L29" i="115"/>
  <c r="K30" i="165" l="1"/>
  <c r="AN33" i="115"/>
  <c r="AL33" i="115" s="1"/>
  <c r="K27" i="165"/>
  <c r="AN30" i="115"/>
  <c r="K20" i="165"/>
  <c r="AN23" i="115"/>
  <c r="K23" i="165"/>
  <c r="AN26" i="115"/>
  <c r="AN37" i="115"/>
  <c r="K34" i="165"/>
  <c r="AN45" i="115"/>
  <c r="K42" i="165"/>
  <c r="K31" i="165"/>
  <c r="AN34" i="115"/>
  <c r="AL34" i="115" s="1"/>
  <c r="CT31" i="125"/>
  <c r="AH29" i="115"/>
  <c r="K26" i="165"/>
  <c r="AN29" i="115"/>
  <c r="K39" i="165"/>
  <c r="AN42" i="115"/>
  <c r="K43" i="165"/>
  <c r="AN46" i="115"/>
  <c r="P25" i="165"/>
  <c r="P26" i="165"/>
  <c r="P27" i="165"/>
  <c r="P28" i="165"/>
  <c r="P29" i="165"/>
  <c r="P30" i="165"/>
  <c r="P31" i="165"/>
  <c r="C45" i="122"/>
  <c r="C48" i="120"/>
  <c r="AK28" i="122"/>
  <c r="L45" i="122"/>
  <c r="Q25" i="122"/>
  <c r="AK25" i="122" s="1"/>
  <c r="Q26" i="122"/>
  <c r="AK26" i="122" s="1"/>
  <c r="Q27" i="122"/>
  <c r="Q28" i="122"/>
  <c r="Q29" i="122"/>
  <c r="Q30" i="122"/>
  <c r="Q31" i="122"/>
  <c r="Q32" i="122"/>
  <c r="Q24" i="122"/>
  <c r="AK24" i="122" s="1"/>
  <c r="O29" i="120"/>
  <c r="H69" i="115"/>
  <c r="I56" i="115"/>
  <c r="I58" i="115"/>
  <c r="I59" i="115"/>
  <c r="I60" i="115"/>
  <c r="I62" i="115"/>
  <c r="I66" i="115"/>
  <c r="I70" i="115"/>
  <c r="I50" i="115"/>
  <c r="H50" i="115"/>
  <c r="H49" i="115" s="1"/>
  <c r="H24" i="115"/>
  <c r="I24" i="115" s="1"/>
  <c r="CT26" i="125" s="1"/>
  <c r="H25" i="115"/>
  <c r="H26" i="115"/>
  <c r="H27" i="115"/>
  <c r="H28" i="115"/>
  <c r="H29" i="115"/>
  <c r="H30" i="115"/>
  <c r="H31" i="115"/>
  <c r="H32" i="115"/>
  <c r="H33" i="115"/>
  <c r="H34" i="115"/>
  <c r="H23" i="115"/>
  <c r="I23" i="115" s="1"/>
  <c r="I27" i="115"/>
  <c r="CT29" i="125" s="1"/>
  <c r="I28" i="115"/>
  <c r="CT30" i="125" s="1"/>
  <c r="I30" i="115"/>
  <c r="CT32" i="125" s="1"/>
  <c r="I31" i="115"/>
  <c r="CT33" i="125" s="1"/>
  <c r="I32" i="115"/>
  <c r="CT34" i="125" s="1"/>
  <c r="I33" i="115"/>
  <c r="CT35" i="125" s="1"/>
  <c r="I34" i="115"/>
  <c r="CT36" i="125" s="1"/>
  <c r="I35" i="115"/>
  <c r="CT37" i="125" s="1"/>
  <c r="I37" i="115"/>
  <c r="CT39" i="125" s="1"/>
  <c r="I38" i="115"/>
  <c r="CT40" i="125" s="1"/>
  <c r="I39" i="115"/>
  <c r="CT41" i="125" s="1"/>
  <c r="I40" i="115"/>
  <c r="CT42" i="125" s="1"/>
  <c r="I42" i="115"/>
  <c r="CT44" i="125" s="1"/>
  <c r="I43" i="115"/>
  <c r="CT45" i="125" s="1"/>
  <c r="I44" i="115"/>
  <c r="CT46" i="125" s="1"/>
  <c r="I45" i="115"/>
  <c r="CT47" i="125" s="1"/>
  <c r="I46" i="115"/>
  <c r="CT48" i="125" s="1"/>
  <c r="I47" i="115"/>
  <c r="CT49" i="125" s="1"/>
  <c r="I26" i="115"/>
  <c r="CT28" i="125" s="1"/>
  <c r="I25" i="115"/>
  <c r="CT27" i="125" s="1"/>
  <c r="CL56" i="12"/>
  <c r="CL60" i="12"/>
  <c r="CL62" i="12"/>
  <c r="CL64" i="12"/>
  <c r="CL66" i="12"/>
  <c r="CL68" i="12"/>
  <c r="CL72" i="12"/>
  <c r="CP56" i="12"/>
  <c r="CP57" i="12"/>
  <c r="CL57" i="12" s="1"/>
  <c r="CP59" i="12"/>
  <c r="CL59" i="12" s="1"/>
  <c r="CP60" i="12"/>
  <c r="CP61" i="12"/>
  <c r="CL61" i="12" s="1"/>
  <c r="CP62" i="12"/>
  <c r="CP63" i="12"/>
  <c r="CL63" i="12" s="1"/>
  <c r="CP64" i="12"/>
  <c r="CP65" i="12"/>
  <c r="CL65" i="12" s="1"/>
  <c r="CP66" i="12"/>
  <c r="CP67" i="12"/>
  <c r="CL67" i="12" s="1"/>
  <c r="CP68" i="12"/>
  <c r="CP69" i="12"/>
  <c r="CL69" i="12" s="1"/>
  <c r="CA69" i="12" s="1"/>
  <c r="CP72" i="12"/>
  <c r="CP73" i="12"/>
  <c r="CL73" i="12" s="1"/>
  <c r="CO71" i="12"/>
  <c r="CO72" i="12"/>
  <c r="CO73" i="12"/>
  <c r="CP74" i="12"/>
  <c r="CP75" i="12"/>
  <c r="CL29" i="12"/>
  <c r="CL33" i="12"/>
  <c r="BW33" i="12" s="1"/>
  <c r="CL38" i="12"/>
  <c r="CL43" i="12"/>
  <c r="CP26" i="12"/>
  <c r="CL26" i="12" s="1"/>
  <c r="CP27" i="12"/>
  <c r="CL27" i="12" s="1"/>
  <c r="CP29" i="12"/>
  <c r="CP30" i="12"/>
  <c r="CL30" i="12" s="1"/>
  <c r="CP31" i="12"/>
  <c r="CL31" i="12" s="1"/>
  <c r="CP32" i="12"/>
  <c r="CL32" i="12" s="1"/>
  <c r="BW32" i="12" s="1"/>
  <c r="CP33" i="12"/>
  <c r="CP34" i="12"/>
  <c r="CL34" i="12" s="1"/>
  <c r="BW34" i="12" s="1"/>
  <c r="CP35" i="12"/>
  <c r="CL35" i="12" s="1"/>
  <c r="CP37" i="12"/>
  <c r="CL37" i="12" s="1"/>
  <c r="CP38" i="12"/>
  <c r="CP39" i="12"/>
  <c r="CL39" i="12" s="1"/>
  <c r="CP40" i="12"/>
  <c r="CL40" i="12" s="1"/>
  <c r="CP42" i="12"/>
  <c r="CL42" i="12" s="1"/>
  <c r="CP43" i="12"/>
  <c r="CP44" i="12"/>
  <c r="CL44" i="12" s="1"/>
  <c r="CP45" i="12"/>
  <c r="CL45" i="12" s="1"/>
  <c r="CP46" i="12"/>
  <c r="CL46" i="12" s="1"/>
  <c r="CP47" i="12"/>
  <c r="CL47" i="12" s="1"/>
  <c r="CP23" i="12"/>
  <c r="CM22" i="12"/>
  <c r="CN22" i="12"/>
  <c r="S53" i="12"/>
  <c r="S54" i="12"/>
  <c r="S62" i="12"/>
  <c r="S63" i="12"/>
  <c r="S64" i="12"/>
  <c r="I64" i="115" s="1"/>
  <c r="S65" i="12"/>
  <c r="S66" i="12"/>
  <c r="S67" i="12"/>
  <c r="S68" i="12"/>
  <c r="I68" i="115" s="1"/>
  <c r="S69" i="12"/>
  <c r="S72" i="12"/>
  <c r="J69" i="165" s="1"/>
  <c r="S73" i="12"/>
  <c r="J70" i="165" s="1"/>
  <c r="S61" i="12"/>
  <c r="T61" i="12"/>
  <c r="U54" i="12"/>
  <c r="CP54" i="12" s="1"/>
  <c r="CL54" i="12" s="1"/>
  <c r="U55" i="12"/>
  <c r="CP55" i="12" s="1"/>
  <c r="CL55" i="12" s="1"/>
  <c r="U53" i="12"/>
  <c r="CP53" i="12" s="1"/>
  <c r="T33" i="12"/>
  <c r="Q32" i="12"/>
  <c r="CK32" i="12" s="1"/>
  <c r="CG32" i="12" s="1"/>
  <c r="T29" i="12"/>
  <c r="CL53" i="12" l="1"/>
  <c r="K70" i="165"/>
  <c r="F70" i="165"/>
  <c r="BV67" i="12"/>
  <c r="J64" i="165"/>
  <c r="P67" i="115"/>
  <c r="BV63" i="12"/>
  <c r="P63" i="115"/>
  <c r="J60" i="165"/>
  <c r="P53" i="115"/>
  <c r="J50" i="165"/>
  <c r="BV65" i="12"/>
  <c r="J62" i="165"/>
  <c r="P65" i="115"/>
  <c r="F69" i="165"/>
  <c r="K69" i="165"/>
  <c r="BV66" i="12"/>
  <c r="J63" i="165"/>
  <c r="P66" i="115"/>
  <c r="BV62" i="12"/>
  <c r="P62" i="115"/>
  <c r="J59" i="165"/>
  <c r="I71" i="115"/>
  <c r="I67" i="115"/>
  <c r="I63" i="115"/>
  <c r="J66" i="165"/>
  <c r="P69" i="115"/>
  <c r="BV61" i="12"/>
  <c r="J58" i="165"/>
  <c r="P61" i="115"/>
  <c r="CA68" i="12"/>
  <c r="BW68" i="12" s="1"/>
  <c r="P68" i="115"/>
  <c r="J65" i="165"/>
  <c r="BV64" i="12"/>
  <c r="P64" i="115"/>
  <c r="J61" i="165"/>
  <c r="J51" i="165"/>
  <c r="P54" i="115"/>
  <c r="CL23" i="12"/>
  <c r="I69" i="115"/>
  <c r="Q69" i="115" s="1"/>
  <c r="I65" i="115"/>
  <c r="I61" i="115"/>
  <c r="K19" i="165"/>
  <c r="H48" i="115"/>
  <c r="I49" i="115"/>
  <c r="Q66" i="115"/>
  <c r="T66" i="115"/>
  <c r="CT25" i="125"/>
  <c r="Q65" i="115"/>
  <c r="T65" i="115"/>
  <c r="Q61" i="115"/>
  <c r="T61" i="115"/>
  <c r="Q56" i="115"/>
  <c r="T56" i="115"/>
  <c r="Q70" i="115"/>
  <c r="T70" i="115"/>
  <c r="Q58" i="115"/>
  <c r="T58" i="115"/>
  <c r="T68" i="115"/>
  <c r="Q68" i="115"/>
  <c r="Q64" i="115"/>
  <c r="T64" i="115"/>
  <c r="T60" i="115"/>
  <c r="Q60" i="115"/>
  <c r="T62" i="115"/>
  <c r="Q62" i="115"/>
  <c r="Q67" i="115"/>
  <c r="T67" i="115"/>
  <c r="Q63" i="115"/>
  <c r="T63" i="115"/>
  <c r="T59" i="115"/>
  <c r="Q59" i="115"/>
  <c r="R59" i="115" s="1"/>
  <c r="S59" i="115" s="1"/>
  <c r="DI48" i="120"/>
  <c r="Q44" i="165" s="1"/>
  <c r="T69" i="115" l="1"/>
  <c r="AN64" i="115"/>
  <c r="AJ64" i="115" s="1"/>
  <c r="E66" i="125"/>
  <c r="CT66" i="125"/>
  <c r="AN69" i="115"/>
  <c r="AL69" i="115" s="1"/>
  <c r="CT71" i="125"/>
  <c r="E71" i="125"/>
  <c r="CT68" i="125"/>
  <c r="AN66" i="115"/>
  <c r="AJ66" i="115" s="1"/>
  <c r="E68" i="125"/>
  <c r="K50" i="165"/>
  <c r="F50" i="165"/>
  <c r="E56" i="125"/>
  <c r="AN54" i="115"/>
  <c r="CT56" i="125"/>
  <c r="CT63" i="125"/>
  <c r="AN61" i="115"/>
  <c r="AJ61" i="115" s="1"/>
  <c r="E63" i="125"/>
  <c r="F66" i="165"/>
  <c r="K66" i="165"/>
  <c r="F59" i="165"/>
  <c r="K59" i="165"/>
  <c r="F63" i="165"/>
  <c r="K63" i="165"/>
  <c r="AN65" i="115"/>
  <c r="AJ65" i="115" s="1"/>
  <c r="CT67" i="125"/>
  <c r="E67" i="125"/>
  <c r="E55" i="125"/>
  <c r="AN53" i="115"/>
  <c r="CT55" i="125"/>
  <c r="CT69" i="125"/>
  <c r="AN67" i="115"/>
  <c r="AJ67" i="115" s="1"/>
  <c r="E69" i="125"/>
  <c r="F51" i="165"/>
  <c r="K51" i="165"/>
  <c r="F65" i="165"/>
  <c r="K65" i="165"/>
  <c r="K58" i="165"/>
  <c r="F58" i="165"/>
  <c r="AN62" i="115"/>
  <c r="AJ62" i="115" s="1"/>
  <c r="CT64" i="125"/>
  <c r="E64" i="125"/>
  <c r="F62" i="165"/>
  <c r="K62" i="165"/>
  <c r="K60" i="165"/>
  <c r="F60" i="165"/>
  <c r="K64" i="165"/>
  <c r="F64" i="165"/>
  <c r="K61" i="165"/>
  <c r="F61" i="165"/>
  <c r="E70" i="125"/>
  <c r="AN68" i="115"/>
  <c r="AL68" i="115" s="1"/>
  <c r="CT70" i="125"/>
  <c r="E65" i="125"/>
  <c r="CT65" i="125"/>
  <c r="AN63" i="115"/>
  <c r="AJ63" i="115" s="1"/>
  <c r="R63" i="115"/>
  <c r="S63" i="115" s="1"/>
  <c r="R58" i="115"/>
  <c r="S58" i="115" s="1"/>
  <c r="R56" i="115"/>
  <c r="S56" i="115" s="1"/>
  <c r="R65" i="115"/>
  <c r="S65" i="115" s="1"/>
  <c r="R67" i="115"/>
  <c r="S67" i="115" s="1"/>
  <c r="R64" i="115"/>
  <c r="S64" i="115" s="1"/>
  <c r="R61" i="115"/>
  <c r="S61" i="115" s="1"/>
  <c r="R69" i="115"/>
  <c r="S69" i="115" s="1"/>
  <c r="R66" i="115"/>
  <c r="S66" i="115" s="1"/>
  <c r="R62" i="115"/>
  <c r="S62" i="115" s="1"/>
  <c r="R60" i="115"/>
  <c r="S60" i="115" s="1"/>
  <c r="R68" i="115"/>
  <c r="S68" i="115" s="1"/>
  <c r="BW22" i="119"/>
  <c r="AU54" i="119"/>
  <c r="AW24" i="119"/>
  <c r="AY54" i="119"/>
  <c r="AW49" i="119"/>
  <c r="AJ52" i="115" l="1"/>
  <c r="BE54" i="125"/>
  <c r="CS54" i="125"/>
  <c r="CU71" i="125"/>
  <c r="CU72" i="125"/>
  <c r="CU73" i="125"/>
  <c r="BE73" i="125" s="1"/>
  <c r="BC72" i="125"/>
  <c r="BC73" i="125"/>
  <c r="BC74" i="125"/>
  <c r="BI54" i="125"/>
  <c r="BE24" i="125"/>
  <c r="BF24" i="125"/>
  <c r="AC23" i="125"/>
  <c r="AD23" i="125"/>
  <c r="BS72" i="125"/>
  <c r="BS73" i="125"/>
  <c r="BS74" i="125"/>
  <c r="BR74" i="125"/>
  <c r="BR73" i="125"/>
  <c r="CT75" i="125"/>
  <c r="CV24" i="125"/>
  <c r="AQ22" i="125"/>
  <c r="AO72" i="125"/>
  <c r="AO73" i="125"/>
  <c r="AO74" i="125"/>
  <c r="AA72" i="125"/>
  <c r="AA73" i="125"/>
  <c r="AA74" i="125"/>
  <c r="BC49" i="125"/>
  <c r="AS29" i="125"/>
  <c r="AS28" i="125"/>
  <c r="AS38" i="125"/>
  <c r="AS39" i="125"/>
  <c r="AS40" i="125"/>
  <c r="AS41" i="125"/>
  <c r="AS42" i="125"/>
  <c r="AS43" i="125"/>
  <c r="AS44" i="125"/>
  <c r="AS45" i="125"/>
  <c r="AS46" i="125"/>
  <c r="AS47" i="125"/>
  <c r="AS48" i="125"/>
  <c r="AS37" i="125"/>
  <c r="AI22" i="115"/>
  <c r="AK22" i="115"/>
  <c r="BL30" i="12"/>
  <c r="BL22" i="12" s="1"/>
  <c r="BH22" i="12" s="1"/>
  <c r="BL59" i="12"/>
  <c r="BB27" i="12"/>
  <c r="BB26" i="12"/>
  <c r="AX26" i="12" s="1"/>
  <c r="BE47" i="120" l="1"/>
  <c r="O47" i="120"/>
  <c r="AK48" i="119"/>
  <c r="Q44" i="122" s="1"/>
  <c r="AK44" i="122" s="1"/>
  <c r="BE36" i="120"/>
  <c r="O36" i="120"/>
  <c r="AK37" i="119"/>
  <c r="Q33" i="122" s="1"/>
  <c r="AK33" i="122" s="1"/>
  <c r="BE44" i="120"/>
  <c r="O44" i="120"/>
  <c r="AK45" i="119"/>
  <c r="Q41" i="122" s="1"/>
  <c r="AK41" i="122" s="1"/>
  <c r="BE40" i="120"/>
  <c r="O40" i="120"/>
  <c r="AK41" i="119"/>
  <c r="Q37" i="122" s="1"/>
  <c r="AK37" i="122" s="1"/>
  <c r="BE27" i="120"/>
  <c r="DI27" i="120" s="1"/>
  <c r="O27" i="120"/>
  <c r="BE39" i="120"/>
  <c r="O39" i="120"/>
  <c r="AK40" i="119"/>
  <c r="Q36" i="122" s="1"/>
  <c r="AK36" i="122" s="1"/>
  <c r="BE28" i="120"/>
  <c r="DI28" i="120" s="1"/>
  <c r="O28" i="120"/>
  <c r="BE46" i="120"/>
  <c r="O46" i="120"/>
  <c r="AK47" i="119"/>
  <c r="Q43" i="122" s="1"/>
  <c r="AK43" i="122" s="1"/>
  <c r="BE42" i="120"/>
  <c r="O42" i="120"/>
  <c r="AK43" i="119"/>
  <c r="Q39" i="122" s="1"/>
  <c r="AK39" i="122" s="1"/>
  <c r="BE38" i="120"/>
  <c r="O38" i="120"/>
  <c r="AK39" i="119"/>
  <c r="Q35" i="122" s="1"/>
  <c r="AK35" i="122" s="1"/>
  <c r="BE43" i="120"/>
  <c r="O43" i="120"/>
  <c r="AK44" i="119"/>
  <c r="Q40" i="122" s="1"/>
  <c r="AK40" i="122" s="1"/>
  <c r="BE45" i="120"/>
  <c r="O45" i="120"/>
  <c r="AK46" i="119"/>
  <c r="Q42" i="122" s="1"/>
  <c r="AK42" i="122" s="1"/>
  <c r="BE41" i="120"/>
  <c r="O41" i="120"/>
  <c r="AK42" i="119"/>
  <c r="Q38" i="122" s="1"/>
  <c r="AK38" i="122" s="1"/>
  <c r="BE37" i="120"/>
  <c r="O37" i="120"/>
  <c r="AK38" i="119"/>
  <c r="Q34" i="122" s="1"/>
  <c r="AK34" i="122" s="1"/>
  <c r="CT59" i="125"/>
  <c r="E59" i="125"/>
  <c r="R57" i="115"/>
  <c r="S57" i="115" s="1"/>
  <c r="E49" i="125"/>
  <c r="S29" i="115"/>
  <c r="L26" i="12"/>
  <c r="T56" i="12"/>
  <c r="AK21" i="115"/>
  <c r="AK20" i="115" s="1"/>
  <c r="AI21" i="115"/>
  <c r="AI20" i="115" s="1"/>
  <c r="C53" i="191"/>
  <c r="Q24" i="165" l="1"/>
  <c r="P24" i="165"/>
  <c r="Q23" i="165"/>
  <c r="P23" i="165"/>
  <c r="AP59" i="125"/>
  <c r="AP54" i="125" s="1"/>
  <c r="AP53" i="125" s="1"/>
  <c r="AB49" i="125"/>
  <c r="BD49" i="125"/>
  <c r="AG52" i="115"/>
  <c r="J79" i="192"/>
  <c r="K79" i="192"/>
  <c r="Q30" i="115"/>
  <c r="O50" i="191"/>
  <c r="M20" i="191"/>
  <c r="M22" i="191"/>
  <c r="M28" i="191"/>
  <c r="M45" i="191"/>
  <c r="M64" i="191"/>
  <c r="M66" i="191"/>
  <c r="K22" i="191"/>
  <c r="K28" i="191"/>
  <c r="K20" i="191"/>
  <c r="O50" i="192"/>
  <c r="R47" i="12"/>
  <c r="AP75" i="125" l="1"/>
  <c r="AF27" i="115" l="1"/>
  <c r="AF26" i="115"/>
  <c r="AG47" i="115"/>
  <c r="AG22" i="115" s="1"/>
  <c r="AG21" i="115" s="1"/>
  <c r="AG20" i="115" s="1"/>
  <c r="R28" i="115" l="1"/>
  <c r="R25" i="115"/>
  <c r="Q27" i="115" l="1"/>
  <c r="T27" i="115"/>
  <c r="AM47" i="115"/>
  <c r="AF28" i="115" l="1"/>
  <c r="AF30" i="115"/>
  <c r="AR73" i="12"/>
  <c r="AQ73" i="12"/>
  <c r="AN73" i="12"/>
  <c r="AR72" i="12"/>
  <c r="AQ72" i="12"/>
  <c r="AN72" i="12"/>
  <c r="BG73" i="12"/>
  <c r="BG72" i="12"/>
  <c r="AX57" i="12"/>
  <c r="BB57" i="12" s="1"/>
  <c r="BB52" i="12" s="1"/>
  <c r="T20" i="189" l="1"/>
  <c r="T55" i="189"/>
  <c r="T23" i="189"/>
  <c r="T24" i="189"/>
  <c r="T25" i="189"/>
  <c r="T26" i="189"/>
  <c r="T27" i="189"/>
  <c r="U45" i="191"/>
  <c r="T45" i="191"/>
  <c r="U29" i="191"/>
  <c r="T29" i="191" s="1"/>
  <c r="U30" i="191"/>
  <c r="T30" i="191" s="1"/>
  <c r="U31" i="191"/>
  <c r="T31" i="191" s="1"/>
  <c r="U32" i="191"/>
  <c r="T32" i="191" s="1"/>
  <c r="U33" i="191"/>
  <c r="T33" i="191" s="1"/>
  <c r="U34" i="191"/>
  <c r="T34" i="191" s="1"/>
  <c r="U35" i="191"/>
  <c r="T35" i="191" s="1"/>
  <c r="U36" i="191"/>
  <c r="T36" i="191" s="1"/>
  <c r="U37" i="191"/>
  <c r="T37" i="191" s="1"/>
  <c r="U38" i="191"/>
  <c r="T38" i="191" s="1"/>
  <c r="U39" i="191"/>
  <c r="T39" i="191" s="1"/>
  <c r="U40" i="191"/>
  <c r="T40" i="191" s="1"/>
  <c r="U41" i="191"/>
  <c r="T41" i="191" s="1"/>
  <c r="U42" i="191"/>
  <c r="T42" i="191" s="1"/>
  <c r="U43" i="191"/>
  <c r="T43" i="191" s="1"/>
  <c r="U44" i="191"/>
  <c r="T44" i="191" s="1"/>
  <c r="O20" i="191"/>
  <c r="O22" i="191"/>
  <c r="O28" i="191"/>
  <c r="T63" i="191"/>
  <c r="T55" i="191"/>
  <c r="T54" i="191"/>
  <c r="T28" i="191"/>
  <c r="T22" i="191"/>
  <c r="T20" i="191"/>
  <c r="O45" i="191"/>
  <c r="O49" i="191"/>
  <c r="O51" i="191"/>
  <c r="C70" i="191"/>
  <c r="C71" i="191"/>
  <c r="C72" i="191"/>
  <c r="C73" i="191"/>
  <c r="C74" i="191"/>
  <c r="C75" i="191"/>
  <c r="C76" i="191"/>
  <c r="C77" i="191"/>
  <c r="R60" i="12"/>
  <c r="K58" i="12"/>
  <c r="K59" i="12"/>
  <c r="C72" i="12"/>
  <c r="C73" i="12"/>
  <c r="BH72" i="12" l="1"/>
  <c r="BH73" i="12"/>
  <c r="BL73" i="12" s="1"/>
  <c r="CO47" i="12"/>
  <c r="AN47" i="12"/>
  <c r="AR47" i="12"/>
  <c r="P47" i="12"/>
  <c r="H47" i="115" s="1"/>
  <c r="C47" i="12"/>
  <c r="C49" i="119" s="1"/>
  <c r="Q71" i="115" l="1"/>
  <c r="T71" i="115"/>
  <c r="G71" i="165" l="1"/>
  <c r="H71" i="165"/>
  <c r="I71" i="165"/>
  <c r="M33" i="165"/>
  <c r="M34" i="165"/>
  <c r="M35" i="165"/>
  <c r="M36" i="165"/>
  <c r="M37" i="165"/>
  <c r="M38" i="165"/>
  <c r="M39" i="165"/>
  <c r="M40" i="165"/>
  <c r="M41" i="165"/>
  <c r="M42" i="165"/>
  <c r="M43" i="165"/>
  <c r="M32" i="165"/>
  <c r="I32" i="165"/>
  <c r="I33" i="165"/>
  <c r="I34" i="165"/>
  <c r="I35" i="165"/>
  <c r="I36" i="165"/>
  <c r="I37" i="165"/>
  <c r="I38" i="165"/>
  <c r="I39" i="165"/>
  <c r="I40" i="165"/>
  <c r="I41" i="165"/>
  <c r="I42" i="165"/>
  <c r="I43" i="165"/>
  <c r="AI54" i="119"/>
  <c r="AK24" i="119"/>
  <c r="S23" i="115"/>
  <c r="S26" i="115"/>
  <c r="S27" i="115"/>
  <c r="S28" i="115"/>
  <c r="O23" i="115"/>
  <c r="O24" i="115"/>
  <c r="T24" i="115" s="1"/>
  <c r="O25" i="115"/>
  <c r="O26" i="115"/>
  <c r="T26" i="115" s="1"/>
  <c r="O27" i="115"/>
  <c r="O34" i="115"/>
  <c r="O22" i="115"/>
  <c r="M24" i="115"/>
  <c r="L24" i="115" s="1"/>
  <c r="Q24" i="115" s="1"/>
  <c r="R24" i="115" s="1"/>
  <c r="M25" i="115"/>
  <c r="M26" i="115"/>
  <c r="M27" i="115"/>
  <c r="L28" i="115"/>
  <c r="M34" i="115"/>
  <c r="M23" i="115"/>
  <c r="CY72" i="125"/>
  <c r="CW38" i="125"/>
  <c r="CW39" i="125"/>
  <c r="CW40" i="125"/>
  <c r="CW41" i="125"/>
  <c r="CW42" i="125"/>
  <c r="CW43" i="125"/>
  <c r="CW44" i="125"/>
  <c r="CW45" i="125"/>
  <c r="CW46" i="125"/>
  <c r="CW47" i="125"/>
  <c r="CW48" i="125"/>
  <c r="CW37" i="125"/>
  <c r="CP38" i="125"/>
  <c r="CP39" i="125"/>
  <c r="CP40" i="125"/>
  <c r="CP41" i="125"/>
  <c r="CP42" i="125"/>
  <c r="CP43" i="125"/>
  <c r="CP44" i="125"/>
  <c r="CP45" i="125"/>
  <c r="CP46" i="125"/>
  <c r="CP47" i="125"/>
  <c r="CP48" i="125"/>
  <c r="CP37" i="125"/>
  <c r="CI38" i="125"/>
  <c r="CI39" i="125"/>
  <c r="CI40" i="125"/>
  <c r="CI41" i="125"/>
  <c r="CI42" i="125"/>
  <c r="CI43" i="125"/>
  <c r="CI44" i="125"/>
  <c r="CI45" i="125"/>
  <c r="CI46" i="125"/>
  <c r="CI47" i="125"/>
  <c r="CI48" i="125"/>
  <c r="CF38" i="125"/>
  <c r="CF39" i="125"/>
  <c r="CF40" i="125"/>
  <c r="CF41" i="125"/>
  <c r="CF42" i="125"/>
  <c r="CF43" i="125"/>
  <c r="CF44" i="125"/>
  <c r="CF45" i="125"/>
  <c r="CF46" i="125"/>
  <c r="CF47" i="125"/>
  <c r="CF48" i="125"/>
  <c r="CI37" i="125"/>
  <c r="CF37" i="125"/>
  <c r="BC37" i="125"/>
  <c r="BD37" i="125"/>
  <c r="BG37" i="125"/>
  <c r="BS36" i="120" s="1"/>
  <c r="BC38" i="125"/>
  <c r="BD38" i="125"/>
  <c r="BG38" i="125"/>
  <c r="BS37" i="120" s="1"/>
  <c r="BC39" i="125"/>
  <c r="BD39" i="125"/>
  <c r="BG39" i="125"/>
  <c r="BS38" i="120" s="1"/>
  <c r="BC40" i="125"/>
  <c r="BD40" i="125"/>
  <c r="BG40" i="125"/>
  <c r="BS39" i="120" s="1"/>
  <c r="BC41" i="125"/>
  <c r="BD41" i="125"/>
  <c r="BG41" i="125"/>
  <c r="BS40" i="120" s="1"/>
  <c r="BC42" i="125"/>
  <c r="BD42" i="125"/>
  <c r="BG42" i="125"/>
  <c r="BS41" i="120" s="1"/>
  <c r="BC43" i="125"/>
  <c r="BD43" i="125"/>
  <c r="BG43" i="125"/>
  <c r="BS42" i="120" s="1"/>
  <c r="BC44" i="125"/>
  <c r="BD44" i="125"/>
  <c r="BG44" i="125"/>
  <c r="BS43" i="120" s="1"/>
  <c r="BC45" i="125"/>
  <c r="BD45" i="125"/>
  <c r="BG45" i="125"/>
  <c r="BS44" i="120" s="1"/>
  <c r="BC46" i="125"/>
  <c r="BD46" i="125"/>
  <c r="BG46" i="125"/>
  <c r="BS45" i="120" s="1"/>
  <c r="BC47" i="125"/>
  <c r="BD47" i="125"/>
  <c r="BG47" i="125"/>
  <c r="BS46" i="120" s="1"/>
  <c r="BC48" i="125"/>
  <c r="BD48" i="125"/>
  <c r="BG48" i="125"/>
  <c r="BS47" i="120" s="1"/>
  <c r="L34" i="115" l="1"/>
  <c r="L25" i="115"/>
  <c r="L26" i="115"/>
  <c r="Q26" i="115" s="1"/>
  <c r="R26" i="115" s="1"/>
  <c r="L23" i="115"/>
  <c r="L27" i="115"/>
  <c r="R27" i="115" s="1"/>
  <c r="DI37" i="120"/>
  <c r="DI38" i="120"/>
  <c r="DI39" i="120"/>
  <c r="DI40" i="120"/>
  <c r="DI41" i="120"/>
  <c r="DI42" i="120"/>
  <c r="DI43" i="120"/>
  <c r="DI44" i="120"/>
  <c r="DI45" i="120"/>
  <c r="DI46" i="120"/>
  <c r="DI47" i="120"/>
  <c r="DI36" i="120"/>
  <c r="BA53" i="120"/>
  <c r="X69" i="122"/>
  <c r="Y69" i="122"/>
  <c r="J69" i="122"/>
  <c r="N69" i="122"/>
  <c r="AC47" i="122"/>
  <c r="X48" i="122"/>
  <c r="X47" i="122" s="1"/>
  <c r="X46" i="122" s="1"/>
  <c r="S46" i="122"/>
  <c r="S47" i="122"/>
  <c r="L35" i="122"/>
  <c r="AA35" i="122"/>
  <c r="AF35" i="122"/>
  <c r="L36" i="122"/>
  <c r="AA36" i="122"/>
  <c r="AF36" i="122"/>
  <c r="L37" i="122"/>
  <c r="AA37" i="122"/>
  <c r="AF37" i="122"/>
  <c r="L38" i="122"/>
  <c r="AA38" i="122"/>
  <c r="AF38" i="122"/>
  <c r="L39" i="122"/>
  <c r="AA39" i="122"/>
  <c r="AF39" i="122"/>
  <c r="L40" i="122"/>
  <c r="AA40" i="122"/>
  <c r="AF40" i="122"/>
  <c r="L41" i="122"/>
  <c r="AA41" i="122"/>
  <c r="AF41" i="122"/>
  <c r="L42" i="122"/>
  <c r="AA42" i="122"/>
  <c r="AF42" i="122"/>
  <c r="L43" i="122"/>
  <c r="AA43" i="122"/>
  <c r="AF43" i="122"/>
  <c r="L44" i="122"/>
  <c r="AA44" i="122"/>
  <c r="AF44" i="122"/>
  <c r="AE72" i="115"/>
  <c r="P34" i="165" l="1"/>
  <c r="Q34" i="165"/>
  <c r="P43" i="165"/>
  <c r="Q43" i="165"/>
  <c r="P35" i="165"/>
  <c r="Q35" i="165"/>
  <c r="P42" i="165"/>
  <c r="Q42" i="165"/>
  <c r="P41" i="165"/>
  <c r="Q41" i="165"/>
  <c r="P37" i="165"/>
  <c r="Q37" i="165"/>
  <c r="P33" i="165"/>
  <c r="Q33" i="165"/>
  <c r="P39" i="165"/>
  <c r="Q39" i="165"/>
  <c r="P38" i="165"/>
  <c r="Q38" i="165"/>
  <c r="P32" i="165"/>
  <c r="Q32" i="165"/>
  <c r="P40" i="165"/>
  <c r="Q40" i="165"/>
  <c r="P36" i="165"/>
  <c r="Q36" i="165"/>
  <c r="AC46" i="122"/>
  <c r="AM47" i="122"/>
  <c r="AM36" i="115"/>
  <c r="AM37" i="115"/>
  <c r="AM38" i="115"/>
  <c r="AM39" i="115"/>
  <c r="AM40" i="115"/>
  <c r="AM41" i="115"/>
  <c r="AM42" i="115"/>
  <c r="AM43" i="115"/>
  <c r="AM44" i="115"/>
  <c r="AM45" i="115"/>
  <c r="AM46" i="115"/>
  <c r="AM35" i="115"/>
  <c r="AJ35" i="115"/>
  <c r="AH46" i="115"/>
  <c r="AH45" i="115"/>
  <c r="AH44" i="115"/>
  <c r="AH43" i="115"/>
  <c r="AH42" i="115"/>
  <c r="AH41" i="115"/>
  <c r="AH40" i="115"/>
  <c r="AH39" i="115"/>
  <c r="AH38" i="115"/>
  <c r="AH37" i="115"/>
  <c r="AH36" i="115"/>
  <c r="AH35" i="115"/>
  <c r="AD36" i="115"/>
  <c r="AD37" i="115"/>
  <c r="AD38" i="115"/>
  <c r="AD39" i="115"/>
  <c r="AD40" i="115"/>
  <c r="AD41" i="115"/>
  <c r="AD42" i="115"/>
  <c r="AD43" i="115"/>
  <c r="AD44" i="115"/>
  <c r="AD45" i="115"/>
  <c r="AD35" i="115"/>
  <c r="CH22" i="12"/>
  <c r="CI22" i="12"/>
  <c r="CO35" i="12"/>
  <c r="CO36" i="12"/>
  <c r="CO37" i="12"/>
  <c r="CO38" i="12"/>
  <c r="CO39" i="12"/>
  <c r="CO40" i="12"/>
  <c r="CO41" i="12"/>
  <c r="CO42" i="12"/>
  <c r="CO43" i="12"/>
  <c r="CO33" i="12"/>
  <c r="CO34" i="12"/>
  <c r="CO44" i="12"/>
  <c r="CO45" i="12"/>
  <c r="CO46" i="12"/>
  <c r="BZ50" i="12"/>
  <c r="CA50" i="12"/>
  <c r="BP50" i="12"/>
  <c r="BQ50" i="12"/>
  <c r="BM74" i="12"/>
  <c r="BF50" i="12"/>
  <c r="BG50" i="12"/>
  <c r="BC28" i="12"/>
  <c r="BC24" i="12"/>
  <c r="BC25" i="12"/>
  <c r="BC26" i="12"/>
  <c r="BC27" i="12"/>
  <c r="BC23" i="12"/>
  <c r="BC70" i="12"/>
  <c r="BC74" i="12"/>
  <c r="AJ89" i="192"/>
  <c r="AJ88" i="192"/>
  <c r="K78" i="192"/>
  <c r="K77" i="192" s="1"/>
  <c r="K45" i="192" s="1"/>
  <c r="K28" i="192" s="1"/>
  <c r="K22" i="192" s="1"/>
  <c r="K20" i="192" s="1"/>
  <c r="M23" i="192"/>
  <c r="M27" i="192"/>
  <c r="T21" i="192"/>
  <c r="T23" i="192"/>
  <c r="T24" i="192"/>
  <c r="T25" i="192"/>
  <c r="T26" i="192"/>
  <c r="T27" i="192"/>
  <c r="T29" i="192"/>
  <c r="T30" i="192"/>
  <c r="T31" i="192"/>
  <c r="T32" i="192"/>
  <c r="T33" i="192"/>
  <c r="T34" i="192"/>
  <c r="T35" i="192"/>
  <c r="T36" i="192"/>
  <c r="T37" i="192"/>
  <c r="T38" i="192"/>
  <c r="T39" i="192"/>
  <c r="T40" i="192"/>
  <c r="T41" i="192"/>
  <c r="T42" i="192"/>
  <c r="T43" i="192"/>
  <c r="T44" i="192"/>
  <c r="T46" i="192"/>
  <c r="T47" i="192"/>
  <c r="T48" i="192"/>
  <c r="T49" i="192"/>
  <c r="T50" i="192"/>
  <c r="T51" i="192"/>
  <c r="T52" i="192"/>
  <c r="T53" i="192"/>
  <c r="T54" i="192"/>
  <c r="T55" i="192"/>
  <c r="T56" i="192"/>
  <c r="T57" i="192"/>
  <c r="T58" i="192"/>
  <c r="T59" i="192"/>
  <c r="T60" i="192"/>
  <c r="T61" i="192"/>
  <c r="T62" i="192"/>
  <c r="T63" i="192"/>
  <c r="T64" i="192"/>
  <c r="T65" i="192"/>
  <c r="T66" i="192"/>
  <c r="T68" i="192"/>
  <c r="T69" i="192"/>
  <c r="T70" i="192"/>
  <c r="T71" i="192"/>
  <c r="T72" i="192"/>
  <c r="T73" i="192"/>
  <c r="T74" i="192"/>
  <c r="T75" i="192"/>
  <c r="T76" i="192"/>
  <c r="J78" i="192"/>
  <c r="M79" i="192"/>
  <c r="M78" i="192" s="1"/>
  <c r="M77" i="192" s="1"/>
  <c r="M45" i="192" s="1"/>
  <c r="M28" i="192" s="1"/>
  <c r="M22" i="192" s="1"/>
  <c r="M20" i="192" s="1"/>
  <c r="M29" i="192"/>
  <c r="M30" i="192"/>
  <c r="M31" i="192"/>
  <c r="M32" i="192"/>
  <c r="M33" i="192"/>
  <c r="M34" i="192"/>
  <c r="M35" i="192"/>
  <c r="M36" i="192"/>
  <c r="M37" i="192"/>
  <c r="M38" i="192"/>
  <c r="M21" i="192" s="1"/>
  <c r="M39" i="192"/>
  <c r="M40" i="192"/>
  <c r="M41" i="192"/>
  <c r="M24" i="192" s="1"/>
  <c r="M42" i="192"/>
  <c r="M25" i="192" s="1"/>
  <c r="M43" i="192"/>
  <c r="M26" i="192" s="1"/>
  <c r="M44" i="192"/>
  <c r="M46" i="192"/>
  <c r="M47" i="192"/>
  <c r="M48" i="192"/>
  <c r="M49" i="192"/>
  <c r="M50" i="192"/>
  <c r="M51" i="192"/>
  <c r="M52" i="192"/>
  <c r="M53" i="192"/>
  <c r="M54" i="192"/>
  <c r="M67" i="192"/>
  <c r="M68" i="192"/>
  <c r="M69" i="192"/>
  <c r="M70" i="192"/>
  <c r="M71" i="192"/>
  <c r="M72" i="192"/>
  <c r="M73" i="192"/>
  <c r="M74" i="192"/>
  <c r="M75" i="192"/>
  <c r="M76" i="192"/>
  <c r="M80" i="192"/>
  <c r="C82" i="192"/>
  <c r="C83" i="192"/>
  <c r="C84" i="192"/>
  <c r="C85" i="192"/>
  <c r="C86" i="192"/>
  <c r="C87" i="192"/>
  <c r="N49" i="192"/>
  <c r="O49" i="192"/>
  <c r="O45" i="192" s="1"/>
  <c r="O28" i="192" s="1"/>
  <c r="O22" i="192" s="1"/>
  <c r="O20" i="192" s="1"/>
  <c r="C71" i="12"/>
  <c r="AW75" i="12"/>
  <c r="AW74" i="12"/>
  <c r="AS75" i="12"/>
  <c r="AS74" i="12"/>
  <c r="AS50" i="12"/>
  <c r="AN36" i="12"/>
  <c r="AR36" i="12"/>
  <c r="AN37" i="12"/>
  <c r="AR37" i="12"/>
  <c r="AN38" i="12"/>
  <c r="AR38" i="12"/>
  <c r="AN39" i="12"/>
  <c r="AR39" i="12"/>
  <c r="AN40" i="12"/>
  <c r="AR40" i="12"/>
  <c r="AN41" i="12"/>
  <c r="AR41" i="12"/>
  <c r="AN42" i="12"/>
  <c r="AR42" i="12"/>
  <c r="AN43" i="12"/>
  <c r="AR43" i="12"/>
  <c r="AN44" i="12"/>
  <c r="AR44" i="12"/>
  <c r="AN45" i="12"/>
  <c r="AR45" i="12"/>
  <c r="AN46" i="12"/>
  <c r="AR46" i="12"/>
  <c r="AR35" i="12"/>
  <c r="AN35" i="12"/>
  <c r="A55" i="192"/>
  <c r="B55" i="192"/>
  <c r="A56" i="192"/>
  <c r="B56" i="192"/>
  <c r="A57" i="192"/>
  <c r="B57" i="192"/>
  <c r="A58" i="192"/>
  <c r="B58" i="192"/>
  <c r="A59" i="192"/>
  <c r="B59" i="192"/>
  <c r="A60" i="192"/>
  <c r="B60" i="192"/>
  <c r="A61" i="192"/>
  <c r="B61" i="192"/>
  <c r="A62" i="192"/>
  <c r="B62" i="192"/>
  <c r="A63" i="192"/>
  <c r="B63" i="192"/>
  <c r="A64" i="192"/>
  <c r="B64" i="192"/>
  <c r="A65" i="192"/>
  <c r="B65" i="192"/>
  <c r="A66" i="192"/>
  <c r="B66" i="192"/>
  <c r="P36" i="12"/>
  <c r="H36" i="115" s="1"/>
  <c r="P37" i="12"/>
  <c r="H37" i="115" s="1"/>
  <c r="P38" i="12"/>
  <c r="H38" i="115" s="1"/>
  <c r="P39" i="12"/>
  <c r="H39" i="115" s="1"/>
  <c r="P40" i="12"/>
  <c r="H40" i="115" s="1"/>
  <c r="P41" i="12"/>
  <c r="H41" i="115" s="1"/>
  <c r="P42" i="12"/>
  <c r="H42" i="115" s="1"/>
  <c r="P43" i="12"/>
  <c r="H43" i="115" s="1"/>
  <c r="P44" i="12"/>
  <c r="H44" i="115" s="1"/>
  <c r="P45" i="12"/>
  <c r="H45" i="115" s="1"/>
  <c r="P46" i="12"/>
  <c r="H46" i="115" s="1"/>
  <c r="H22" i="12"/>
  <c r="I36" i="12"/>
  <c r="I37" i="12"/>
  <c r="I38" i="12"/>
  <c r="I39" i="12"/>
  <c r="I40" i="12"/>
  <c r="I41" i="12"/>
  <c r="I42" i="12"/>
  <c r="I43" i="12"/>
  <c r="I44" i="12"/>
  <c r="I45" i="12"/>
  <c r="I46" i="12"/>
  <c r="I35" i="12"/>
  <c r="P35" i="12"/>
  <c r="H35" i="115" s="1"/>
  <c r="C35" i="12"/>
  <c r="C36" i="12"/>
  <c r="C37" i="12"/>
  <c r="C38" i="12"/>
  <c r="C39" i="12"/>
  <c r="C40" i="12"/>
  <c r="C41" i="12"/>
  <c r="C42" i="12"/>
  <c r="C43" i="12"/>
  <c r="C44" i="12"/>
  <c r="C45" i="12"/>
  <c r="C46" i="12"/>
  <c r="BC50" i="12" l="1"/>
  <c r="BC49" i="12" s="1"/>
  <c r="BC48" i="12" s="1"/>
  <c r="AC19" i="122"/>
  <c r="AC18" i="122" s="1"/>
  <c r="AM46" i="122"/>
  <c r="J77" i="192"/>
  <c r="C57" i="192"/>
  <c r="C39" i="125"/>
  <c r="C56" i="192"/>
  <c r="C38" i="125"/>
  <c r="C65" i="192"/>
  <c r="C47" i="125"/>
  <c r="C64" i="192"/>
  <c r="C46" i="125"/>
  <c r="C60" i="192"/>
  <c r="C42" i="125"/>
  <c r="C63" i="192"/>
  <c r="C45" i="125"/>
  <c r="C59" i="192"/>
  <c r="C41" i="125"/>
  <c r="C55" i="192"/>
  <c r="C37" i="125"/>
  <c r="C61" i="192"/>
  <c r="C43" i="125"/>
  <c r="C66" i="192"/>
  <c r="C48" i="125"/>
  <c r="C62" i="192"/>
  <c r="C44" i="125"/>
  <c r="C58" i="192"/>
  <c r="C40" i="125"/>
  <c r="L35" i="12"/>
  <c r="L46" i="12"/>
  <c r="R46" i="12" s="1"/>
  <c r="L42" i="12"/>
  <c r="R42" i="12" s="1"/>
  <c r="L38" i="12"/>
  <c r="R38" i="12" s="1"/>
  <c r="L36" i="12"/>
  <c r="R36" i="12" s="1"/>
  <c r="L45" i="12"/>
  <c r="R45" i="12" s="1"/>
  <c r="L41" i="12"/>
  <c r="R41" i="12" s="1"/>
  <c r="L37" i="12"/>
  <c r="R37" i="12" s="1"/>
  <c r="L44" i="12"/>
  <c r="R44" i="12" s="1"/>
  <c r="L40" i="12"/>
  <c r="R40" i="12" s="1"/>
  <c r="L43" i="12"/>
  <c r="R43" i="12" s="1"/>
  <c r="L39" i="12"/>
  <c r="R39" i="12" s="1"/>
  <c r="R35" i="12" l="1"/>
  <c r="E76" i="125" l="1"/>
  <c r="CT76" i="125" s="1"/>
  <c r="AF72" i="115"/>
  <c r="AK28" i="192" l="1"/>
  <c r="AJ28" i="192" s="1"/>
  <c r="AK22" i="192" l="1"/>
  <c r="C20" i="165"/>
  <c r="C21" i="165"/>
  <c r="C22" i="165"/>
  <c r="C23" i="165"/>
  <c r="C24" i="165"/>
  <c r="C25" i="165"/>
  <c r="C26" i="165"/>
  <c r="C27" i="165"/>
  <c r="C28" i="165"/>
  <c r="C29" i="165"/>
  <c r="C30" i="165"/>
  <c r="C31" i="165"/>
  <c r="C46" i="165"/>
  <c r="C47" i="165"/>
  <c r="C50" i="165"/>
  <c r="C51" i="165"/>
  <c r="C52" i="165"/>
  <c r="C53" i="165"/>
  <c r="C54" i="165"/>
  <c r="C55" i="165"/>
  <c r="C56" i="165"/>
  <c r="C57" i="165"/>
  <c r="C58" i="165"/>
  <c r="C59" i="165"/>
  <c r="C60" i="165"/>
  <c r="C61" i="165"/>
  <c r="C62" i="165"/>
  <c r="C63" i="165"/>
  <c r="C64" i="165"/>
  <c r="C65" i="165"/>
  <c r="C66" i="165"/>
  <c r="C67" i="165"/>
  <c r="C68" i="165"/>
  <c r="C72" i="165"/>
  <c r="C69" i="116"/>
  <c r="C70" i="127"/>
  <c r="C70" i="117"/>
  <c r="C78" i="123"/>
  <c r="C71" i="122"/>
  <c r="C74" i="120"/>
  <c r="C75" i="119"/>
  <c r="E39" i="126"/>
  <c r="F39" i="126"/>
  <c r="G39" i="126"/>
  <c r="H39" i="126"/>
  <c r="I39" i="126"/>
  <c r="J39" i="126"/>
  <c r="K39" i="126"/>
  <c r="L39" i="126"/>
  <c r="M39" i="126"/>
  <c r="N39" i="126"/>
  <c r="O39" i="126"/>
  <c r="P39" i="126"/>
  <c r="Q39" i="126"/>
  <c r="R39" i="126"/>
  <c r="U39" i="126"/>
  <c r="V39" i="126"/>
  <c r="W39" i="126"/>
  <c r="X39" i="126"/>
  <c r="Y39" i="126"/>
  <c r="Z39" i="126"/>
  <c r="AA39" i="126"/>
  <c r="AB39" i="126"/>
  <c r="AC39" i="126"/>
  <c r="AD39" i="126"/>
  <c r="AE39" i="126"/>
  <c r="AF39" i="126"/>
  <c r="AI39" i="126"/>
  <c r="AJ39" i="126"/>
  <c r="AK39" i="126"/>
  <c r="AL39" i="126"/>
  <c r="D39" i="126"/>
  <c r="AL38" i="126"/>
  <c r="X38" i="126"/>
  <c r="C39" i="126"/>
  <c r="AO76" i="125"/>
  <c r="AO75" i="125"/>
  <c r="G76" i="125"/>
  <c r="G75" i="125" s="1"/>
  <c r="F76" i="125"/>
  <c r="F75" i="125" s="1"/>
  <c r="C76" i="125"/>
  <c r="AD72" i="115"/>
  <c r="AD73" i="115"/>
  <c r="BN74" i="12"/>
  <c r="BO74" i="12"/>
  <c r="BP74" i="12"/>
  <c r="BQ74" i="12"/>
  <c r="BR74" i="12"/>
  <c r="BS74" i="12"/>
  <c r="BT74" i="12"/>
  <c r="BU74" i="12"/>
  <c r="BV74" i="12"/>
  <c r="BW74" i="12"/>
  <c r="BY74" i="12"/>
  <c r="BZ74" i="12"/>
  <c r="CA74" i="12"/>
  <c r="CB74" i="12"/>
  <c r="CC74" i="12"/>
  <c r="CD74" i="12"/>
  <c r="CE74" i="12"/>
  <c r="CF74" i="12"/>
  <c r="CH74" i="12"/>
  <c r="CI74" i="12"/>
  <c r="CJ74" i="12"/>
  <c r="CM74" i="12"/>
  <c r="CN74" i="12"/>
  <c r="CO74" i="12"/>
  <c r="BL74" i="12"/>
  <c r="BG74" i="12"/>
  <c r="BF74" i="12"/>
  <c r="AP74" i="12"/>
  <c r="AQ74" i="12"/>
  <c r="AR74" i="12"/>
  <c r="AO74" i="12"/>
  <c r="AD74" i="12"/>
  <c r="AE74" i="12"/>
  <c r="AF74" i="12"/>
  <c r="AG74" i="12"/>
  <c r="AH74" i="12"/>
  <c r="AI74" i="12"/>
  <c r="AC74" i="12"/>
  <c r="AB74" i="12"/>
  <c r="AA74" i="12"/>
  <c r="Z74" i="12"/>
  <c r="Y74" i="12"/>
  <c r="X74" i="12"/>
  <c r="W74" i="12"/>
  <c r="V74" i="12"/>
  <c r="R75" i="12"/>
  <c r="R74" i="12"/>
  <c r="C75" i="12"/>
  <c r="AK20" i="192" l="1"/>
  <c r="AJ20" i="192" s="1"/>
  <c r="AJ22" i="192"/>
  <c r="C81" i="192"/>
  <c r="C73" i="115"/>
  <c r="C89" i="192"/>
  <c r="C54" i="12" l="1"/>
  <c r="C55" i="12"/>
  <c r="C56" i="12"/>
  <c r="C57" i="12"/>
  <c r="C58" i="12"/>
  <c r="C59" i="12"/>
  <c r="C60" i="12"/>
  <c r="C61" i="12"/>
  <c r="C62" i="12"/>
  <c r="C63" i="12"/>
  <c r="C64" i="12"/>
  <c r="C65" i="12"/>
  <c r="C66" i="12"/>
  <c r="C67" i="12"/>
  <c r="C68" i="12"/>
  <c r="C69" i="12"/>
  <c r="C53" i="12"/>
  <c r="C50" i="12"/>
  <c r="C24" i="12"/>
  <c r="C25" i="12"/>
  <c r="C26" i="12"/>
  <c r="C27" i="12"/>
  <c r="C28" i="12"/>
  <c r="C29" i="12"/>
  <c r="C30" i="12"/>
  <c r="C31" i="12"/>
  <c r="C32" i="12"/>
  <c r="C33" i="12"/>
  <c r="C34" i="12"/>
  <c r="C23" i="12"/>
  <c r="C69" i="189"/>
  <c r="C70" i="189"/>
  <c r="C71" i="189"/>
  <c r="C72" i="189"/>
  <c r="C73" i="189"/>
  <c r="C74" i="189"/>
  <c r="C75" i="189"/>
  <c r="C68" i="189"/>
  <c r="C57" i="189"/>
  <c r="C58" i="189"/>
  <c r="C59" i="189"/>
  <c r="C60" i="189"/>
  <c r="C61" i="189"/>
  <c r="C62" i="189"/>
  <c r="C63" i="189"/>
  <c r="C64" i="189"/>
  <c r="C56" i="189"/>
  <c r="C52" i="189"/>
  <c r="C53" i="189"/>
  <c r="C51" i="189"/>
  <c r="C67" i="190"/>
  <c r="C68" i="190"/>
  <c r="C69" i="190"/>
  <c r="C70" i="190"/>
  <c r="C71" i="190"/>
  <c r="C72" i="190"/>
  <c r="C66" i="190"/>
  <c r="C55" i="190"/>
  <c r="C56" i="190"/>
  <c r="C57" i="190"/>
  <c r="C58" i="190"/>
  <c r="C59" i="190"/>
  <c r="C60" i="190"/>
  <c r="C61" i="190"/>
  <c r="C62" i="190"/>
  <c r="C54" i="190"/>
  <c r="C51" i="190"/>
  <c r="C68" i="191"/>
  <c r="C69" i="191"/>
  <c r="C67" i="191"/>
  <c r="C56" i="191"/>
  <c r="C57" i="191"/>
  <c r="C58" i="191"/>
  <c r="C59" i="191"/>
  <c r="C60" i="191"/>
  <c r="C61" i="191"/>
  <c r="C62" i="191"/>
  <c r="C63" i="191"/>
  <c r="C55" i="191"/>
  <c r="C52" i="191"/>
  <c r="C51" i="191"/>
  <c r="C80" i="192"/>
  <c r="C69" i="192"/>
  <c r="C70" i="192"/>
  <c r="C71" i="192"/>
  <c r="C72" i="192"/>
  <c r="C73" i="192"/>
  <c r="C74" i="192"/>
  <c r="C75" i="192"/>
  <c r="C76" i="192"/>
  <c r="C68" i="192"/>
  <c r="C52" i="192"/>
  <c r="C53" i="192"/>
  <c r="C51" i="192"/>
  <c r="C68" i="151"/>
  <c r="C69" i="151"/>
  <c r="C67" i="151"/>
  <c r="C52" i="151"/>
  <c r="C53" i="151"/>
  <c r="C51" i="151"/>
  <c r="AS18" i="115" l="1"/>
  <c r="U55" i="191" l="1"/>
  <c r="U54" i="191" s="1"/>
  <c r="U67" i="192"/>
  <c r="U28" i="192" l="1"/>
  <c r="T67" i="192"/>
  <c r="U28" i="191"/>
  <c r="U22" i="191" s="1"/>
  <c r="U20" i="191" s="1"/>
  <c r="U45" i="192"/>
  <c r="T45" i="192" s="1"/>
  <c r="BB29" i="12"/>
  <c r="AX29" i="12" s="1"/>
  <c r="BB30" i="12"/>
  <c r="AX30" i="12" s="1"/>
  <c r="BB31" i="12"/>
  <c r="AX31" i="12" s="1"/>
  <c r="BB32" i="12"/>
  <c r="AX32" i="12" s="1"/>
  <c r="BB33" i="12"/>
  <c r="AX33" i="12" s="1"/>
  <c r="BB34" i="12"/>
  <c r="AX34" i="12" s="1"/>
  <c r="U22" i="192" l="1"/>
  <c r="T28" i="192"/>
  <c r="H66" i="193"/>
  <c r="G66" i="193"/>
  <c r="G61" i="193" s="1"/>
  <c r="F66" i="193"/>
  <c r="E66" i="193"/>
  <c r="E61" i="193" s="1"/>
  <c r="D66" i="193"/>
  <c r="D61" i="193" s="1"/>
  <c r="H61" i="193"/>
  <c r="F61" i="193"/>
  <c r="H58" i="193"/>
  <c r="G58" i="193"/>
  <c r="F58" i="193"/>
  <c r="E58" i="193"/>
  <c r="D58" i="193"/>
  <c r="H54" i="193"/>
  <c r="H47" i="193" s="1"/>
  <c r="G54" i="193"/>
  <c r="F54" i="193"/>
  <c r="E54" i="193"/>
  <c r="E47" i="193" s="1"/>
  <c r="D54" i="193"/>
  <c r="D47" i="193" s="1"/>
  <c r="G47" i="193"/>
  <c r="F47" i="193"/>
  <c r="H43" i="193"/>
  <c r="G43" i="193"/>
  <c r="F43" i="193"/>
  <c r="E43" i="193"/>
  <c r="D43" i="193"/>
  <c r="H25" i="193"/>
  <c r="G25" i="193"/>
  <c r="F25" i="193"/>
  <c r="E25" i="193"/>
  <c r="D25" i="193"/>
  <c r="D18" i="193" s="1"/>
  <c r="D17" i="193" s="1"/>
  <c r="U20" i="192" l="1"/>
  <c r="T20" i="192" s="1"/>
  <c r="T22" i="192"/>
  <c r="L45" i="165"/>
  <c r="U67" i="165"/>
  <c r="K53" i="120"/>
  <c r="D36" i="126"/>
  <c r="E36" i="126"/>
  <c r="F36" i="126"/>
  <c r="G36" i="126"/>
  <c r="H36" i="126"/>
  <c r="I36" i="126"/>
  <c r="J36" i="126"/>
  <c r="K36" i="126"/>
  <c r="L36" i="126"/>
  <c r="M36" i="126"/>
  <c r="N36" i="126"/>
  <c r="O36" i="126"/>
  <c r="P36" i="126"/>
  <c r="Q36" i="126"/>
  <c r="R36" i="126"/>
  <c r="T36" i="126"/>
  <c r="U36" i="126"/>
  <c r="V36" i="126"/>
  <c r="W36" i="126"/>
  <c r="X36" i="126"/>
  <c r="Y36" i="126"/>
  <c r="Z36" i="126"/>
  <c r="AA36" i="126"/>
  <c r="AB36" i="126"/>
  <c r="AC36" i="126"/>
  <c r="AD36" i="126"/>
  <c r="AE36" i="126"/>
  <c r="AG36" i="126"/>
  <c r="AH36" i="126"/>
  <c r="AI36" i="126"/>
  <c r="AJ36" i="126"/>
  <c r="AK36" i="126"/>
  <c r="AL36" i="126"/>
  <c r="C36" i="126"/>
  <c r="D70" i="12"/>
  <c r="E70" i="12"/>
  <c r="C70" i="12" s="1"/>
  <c r="F70" i="12"/>
  <c r="G70" i="12"/>
  <c r="H70" i="12"/>
  <c r="I70" i="12"/>
  <c r="J70" i="12"/>
  <c r="K70" i="12"/>
  <c r="N70" i="12"/>
  <c r="O70" i="12"/>
  <c r="P70" i="12"/>
  <c r="Q70" i="12"/>
  <c r="CK70" i="12" s="1"/>
  <c r="CG70" i="12" s="1"/>
  <c r="T70" i="12"/>
  <c r="V70" i="12"/>
  <c r="W70" i="12"/>
  <c r="X70" i="12"/>
  <c r="Y70" i="12"/>
  <c r="Z70" i="12"/>
  <c r="AA70" i="12"/>
  <c r="AB70" i="12"/>
  <c r="AC70" i="12"/>
  <c r="AD70" i="12"/>
  <c r="AE70" i="12"/>
  <c r="AF70" i="12"/>
  <c r="AG70" i="12"/>
  <c r="AH70" i="12"/>
  <c r="AI70" i="12"/>
  <c r="AJ70" i="12"/>
  <c r="AK70" i="12"/>
  <c r="AL70" i="12"/>
  <c r="AM70" i="12"/>
  <c r="AN70" i="12"/>
  <c r="AO70" i="12"/>
  <c r="AP70" i="12"/>
  <c r="AQ70" i="12"/>
  <c r="AR70" i="12"/>
  <c r="AS70" i="12"/>
  <c r="AT70" i="12"/>
  <c r="AU70" i="12"/>
  <c r="AV70" i="12"/>
  <c r="AW70" i="12"/>
  <c r="AY70" i="12"/>
  <c r="AZ70" i="12"/>
  <c r="BA70" i="12"/>
  <c r="BB70" i="12"/>
  <c r="BD70" i="12"/>
  <c r="BE70" i="12"/>
  <c r="BF70" i="12"/>
  <c r="BG70" i="12"/>
  <c r="BI70" i="12"/>
  <c r="BH70" i="12"/>
  <c r="AX70" i="12"/>
  <c r="R70" i="12"/>
  <c r="L70" i="12"/>
  <c r="BK70" i="12"/>
  <c r="BL70" i="12"/>
  <c r="BW70" i="12"/>
  <c r="CA70" i="12"/>
  <c r="CF70" i="12"/>
  <c r="CJ70" i="12"/>
  <c r="CQ70" i="12"/>
  <c r="BJ70" i="12"/>
  <c r="CF72" i="125"/>
  <c r="CK72" i="125"/>
  <c r="I67" i="165" l="1"/>
  <c r="CO70" i="12"/>
  <c r="CB70" i="12"/>
  <c r="G47" i="165"/>
  <c r="G46" i="165" s="1"/>
  <c r="G45" i="165" s="1"/>
  <c r="H47" i="165"/>
  <c r="H46" i="165"/>
  <c r="H45" i="165" s="1"/>
  <c r="M67" i="165" l="1"/>
  <c r="S36" i="126" l="1"/>
  <c r="AF36" i="126"/>
  <c r="CW51" i="120" l="1"/>
  <c r="CW50" i="120" s="1"/>
  <c r="CW49" i="120" s="1"/>
  <c r="CI51" i="120"/>
  <c r="CI50" i="120" s="1"/>
  <c r="CI49" i="120" s="1"/>
  <c r="BU51" i="120"/>
  <c r="BU50" i="120" s="1"/>
  <c r="BU49" i="120" s="1"/>
  <c r="BG51" i="120"/>
  <c r="BG50" i="120" s="1"/>
  <c r="BG49" i="120" s="1"/>
  <c r="AS51" i="120"/>
  <c r="AS50" i="120" s="1"/>
  <c r="AS49" i="120" s="1"/>
  <c r="D50" i="120"/>
  <c r="D49" i="120" s="1"/>
  <c r="E50" i="120"/>
  <c r="E49" i="120" s="1"/>
  <c r="F50" i="120"/>
  <c r="F49" i="120" s="1"/>
  <c r="G50" i="120"/>
  <c r="G49" i="120" s="1"/>
  <c r="H50" i="120"/>
  <c r="H49" i="120" s="1"/>
  <c r="I50" i="120"/>
  <c r="I49" i="120" s="1"/>
  <c r="K50" i="120"/>
  <c r="K49" i="120" s="1"/>
  <c r="L50" i="120"/>
  <c r="L49" i="120" s="1"/>
  <c r="M50" i="120"/>
  <c r="M49" i="120" s="1"/>
  <c r="N50" i="120"/>
  <c r="N49" i="120" s="1"/>
  <c r="O50" i="120"/>
  <c r="O49" i="120" s="1"/>
  <c r="P50" i="120"/>
  <c r="P49" i="120" s="1"/>
  <c r="R50" i="120"/>
  <c r="R49" i="120" s="1"/>
  <c r="S50" i="120"/>
  <c r="S49" i="120" s="1"/>
  <c r="T50" i="120"/>
  <c r="T49" i="120" s="1"/>
  <c r="U50" i="120"/>
  <c r="U49" i="120" s="1"/>
  <c r="V50" i="120"/>
  <c r="V49" i="120" s="1"/>
  <c r="W50" i="120"/>
  <c r="W49" i="120" s="1"/>
  <c r="X50" i="120"/>
  <c r="X49" i="120" s="1"/>
  <c r="Y50" i="120"/>
  <c r="Y49" i="120" s="1"/>
  <c r="Z50" i="120"/>
  <c r="Z49" i="120" s="1"/>
  <c r="AA50" i="120"/>
  <c r="AA49" i="120" s="1"/>
  <c r="AB50" i="120"/>
  <c r="AB49" i="120" s="1"/>
  <c r="AC50" i="120"/>
  <c r="AC49" i="120" s="1"/>
  <c r="AD50" i="120"/>
  <c r="AD49" i="120" s="1"/>
  <c r="AE50" i="120"/>
  <c r="AE49" i="120" s="1"/>
  <c r="AF50" i="120"/>
  <c r="AF49" i="120" s="1"/>
  <c r="AG50" i="120"/>
  <c r="AG49" i="120" s="1"/>
  <c r="AH50" i="120"/>
  <c r="AH49" i="120" s="1"/>
  <c r="AI50" i="120"/>
  <c r="AI49" i="120" s="1"/>
  <c r="AJ50" i="120"/>
  <c r="AK50" i="120"/>
  <c r="AK49" i="120" s="1"/>
  <c r="AL50" i="120"/>
  <c r="AL49" i="120" s="1"/>
  <c r="AM50" i="120"/>
  <c r="AM49" i="120" s="1"/>
  <c r="AN50" i="120"/>
  <c r="AN49" i="120" s="1"/>
  <c r="AO50" i="120"/>
  <c r="AO49" i="120" s="1"/>
  <c r="AP50" i="120"/>
  <c r="AP49" i="120" s="1"/>
  <c r="AQ50" i="120"/>
  <c r="AQ49" i="120" s="1"/>
  <c r="AR50" i="120"/>
  <c r="AR49" i="120" s="1"/>
  <c r="AT50" i="120"/>
  <c r="AT49" i="120" s="1"/>
  <c r="AU50" i="120"/>
  <c r="AU49" i="120" s="1"/>
  <c r="AV50" i="120"/>
  <c r="AV49" i="120" s="1"/>
  <c r="AW50" i="120"/>
  <c r="AW49" i="120" s="1"/>
  <c r="AX50" i="120"/>
  <c r="AX49" i="120" s="1"/>
  <c r="AY50" i="120"/>
  <c r="AY49" i="120" s="1"/>
  <c r="BA50" i="120"/>
  <c r="BA49" i="120" s="1"/>
  <c r="BB50" i="120"/>
  <c r="BB49" i="120" s="1"/>
  <c r="BC50" i="120"/>
  <c r="BC49" i="120" s="1"/>
  <c r="BD50" i="120"/>
  <c r="BD49" i="120" s="1"/>
  <c r="BE50" i="120"/>
  <c r="BE49" i="120" s="1"/>
  <c r="BF50" i="120"/>
  <c r="BF49" i="120" s="1"/>
  <c r="BH50" i="120"/>
  <c r="BH49" i="120" s="1"/>
  <c r="BI50" i="120"/>
  <c r="BI49" i="120" s="1"/>
  <c r="BJ50" i="120"/>
  <c r="BJ49" i="120" s="1"/>
  <c r="BK50" i="120"/>
  <c r="BK49" i="120" s="1"/>
  <c r="BL50" i="120"/>
  <c r="BM50" i="120"/>
  <c r="BM49" i="120" s="1"/>
  <c r="BN50" i="120"/>
  <c r="BN49" i="120" s="1"/>
  <c r="BO50" i="120"/>
  <c r="BO49" i="120" s="1"/>
  <c r="BP50" i="120"/>
  <c r="BP49" i="120" s="1"/>
  <c r="BQ50" i="120"/>
  <c r="BQ49" i="120" s="1"/>
  <c r="BR50" i="120"/>
  <c r="BR49" i="120" s="1"/>
  <c r="BS50" i="120"/>
  <c r="BS49" i="120" s="1"/>
  <c r="BT50" i="120"/>
  <c r="BT49" i="120" s="1"/>
  <c r="BV50" i="120"/>
  <c r="BV49" i="120" s="1"/>
  <c r="BW50" i="120"/>
  <c r="BW49" i="120" s="1"/>
  <c r="BX50" i="120"/>
  <c r="BX49" i="120" s="1"/>
  <c r="BY50" i="120"/>
  <c r="BY49" i="120" s="1"/>
  <c r="BZ50" i="120"/>
  <c r="CA50" i="120"/>
  <c r="CA49" i="120" s="1"/>
  <c r="CB50" i="120"/>
  <c r="CB49" i="120" s="1"/>
  <c r="CC50" i="120"/>
  <c r="CC49" i="120" s="1"/>
  <c r="CD50" i="120"/>
  <c r="CD49" i="120" s="1"/>
  <c r="CE50" i="120"/>
  <c r="CE49" i="120" s="1"/>
  <c r="CF50" i="120"/>
  <c r="CF49" i="120" s="1"/>
  <c r="CG50" i="120"/>
  <c r="CG49" i="120" s="1"/>
  <c r="CH50" i="120"/>
  <c r="CH49" i="120" s="1"/>
  <c r="CJ50" i="120"/>
  <c r="CJ49" i="120" s="1"/>
  <c r="CK50" i="120"/>
  <c r="CK49" i="120" s="1"/>
  <c r="CL50" i="120"/>
  <c r="CL49" i="120" s="1"/>
  <c r="CM50" i="120"/>
  <c r="CM49" i="120" s="1"/>
  <c r="CN50" i="120"/>
  <c r="CO50" i="120"/>
  <c r="CO49" i="120" s="1"/>
  <c r="CP50" i="120"/>
  <c r="CP49" i="120" s="1"/>
  <c r="CQ50" i="120"/>
  <c r="CQ49" i="120" s="1"/>
  <c r="CR50" i="120"/>
  <c r="CR49" i="120" s="1"/>
  <c r="CS50" i="120"/>
  <c r="CS49" i="120" s="1"/>
  <c r="CT50" i="120"/>
  <c r="CT49" i="120" s="1"/>
  <c r="CU50" i="120"/>
  <c r="CU49" i="120" s="1"/>
  <c r="CV50" i="120"/>
  <c r="CV49" i="120" s="1"/>
  <c r="CX50" i="120"/>
  <c r="CX49" i="120" s="1"/>
  <c r="CY50" i="120"/>
  <c r="CY49" i="120" s="1"/>
  <c r="CZ50" i="120"/>
  <c r="CZ49" i="120" s="1"/>
  <c r="DA50" i="120"/>
  <c r="DA49" i="120" s="1"/>
  <c r="DB50" i="120"/>
  <c r="DB49" i="120" s="1"/>
  <c r="DC50" i="120"/>
  <c r="DC49" i="120" s="1"/>
  <c r="DE50" i="120"/>
  <c r="DE49" i="120" s="1"/>
  <c r="DF50" i="120"/>
  <c r="DF49" i="120" s="1"/>
  <c r="DG50" i="120"/>
  <c r="DG49" i="120" s="1"/>
  <c r="DH50" i="120"/>
  <c r="DH49" i="120" s="1"/>
  <c r="DI50" i="120"/>
  <c r="DI49" i="120" s="1"/>
  <c r="DJ50" i="120"/>
  <c r="DJ49" i="120" s="1"/>
  <c r="D50" i="119"/>
  <c r="E50" i="119"/>
  <c r="F50" i="119"/>
  <c r="G50" i="119"/>
  <c r="H50" i="119"/>
  <c r="I50" i="119"/>
  <c r="J50" i="119"/>
  <c r="K50" i="119"/>
  <c r="L50" i="119"/>
  <c r="M50" i="119"/>
  <c r="N50" i="119"/>
  <c r="O50" i="119"/>
  <c r="P50" i="119"/>
  <c r="Q50" i="119"/>
  <c r="R50" i="119"/>
  <c r="T50" i="119"/>
  <c r="U50" i="119"/>
  <c r="V50" i="119"/>
  <c r="W50" i="119"/>
  <c r="X50" i="119"/>
  <c r="Y50" i="119"/>
  <c r="Z50" i="119"/>
  <c r="AA50" i="119"/>
  <c r="AB50" i="119"/>
  <c r="AC50" i="119"/>
  <c r="AD50" i="119"/>
  <c r="AE50" i="119"/>
  <c r="AF50" i="119"/>
  <c r="AG50" i="119"/>
  <c r="AH50" i="119"/>
  <c r="AI50" i="119"/>
  <c r="AJ50" i="119"/>
  <c r="AK50" i="119"/>
  <c r="AL50" i="119"/>
  <c r="AM50" i="119"/>
  <c r="AN50" i="119"/>
  <c r="AO50" i="119"/>
  <c r="AP50" i="119"/>
  <c r="AQ50" i="119"/>
  <c r="AR50" i="119"/>
  <c r="AS50" i="119"/>
  <c r="AT50" i="119"/>
  <c r="AU50" i="119"/>
  <c r="AV50" i="119"/>
  <c r="AW50" i="119"/>
  <c r="AX50" i="119"/>
  <c r="AY50" i="119"/>
  <c r="AZ50" i="119"/>
  <c r="BA50" i="119"/>
  <c r="BB50" i="119"/>
  <c r="BC50" i="119"/>
  <c r="BD50" i="119"/>
  <c r="BE50" i="119"/>
  <c r="BF50" i="119"/>
  <c r="BG50" i="119"/>
  <c r="BH50" i="119"/>
  <c r="BI50" i="119"/>
  <c r="BJ50" i="119"/>
  <c r="BK50" i="119"/>
  <c r="BL50" i="119"/>
  <c r="BM50" i="119"/>
  <c r="BN50" i="119"/>
  <c r="BO50" i="119"/>
  <c r="BP50" i="119"/>
  <c r="BQ50" i="119"/>
  <c r="BR50" i="119"/>
  <c r="BS50" i="119"/>
  <c r="BT50" i="119"/>
  <c r="BU50" i="119"/>
  <c r="BV50" i="119"/>
  <c r="BW50" i="119"/>
  <c r="CY52" i="125"/>
  <c r="Q51" i="120" s="1"/>
  <c r="CS51" i="125"/>
  <c r="CS50" i="125" s="1"/>
  <c r="CE51" i="125"/>
  <c r="CE50" i="125" s="1"/>
  <c r="BW23" i="125"/>
  <c r="CK51" i="125"/>
  <c r="CK50" i="125"/>
  <c r="BW51" i="125"/>
  <c r="BW50" i="125" s="1"/>
  <c r="BW22" i="125" s="1"/>
  <c r="BI51" i="125"/>
  <c r="BI50" i="125" s="1"/>
  <c r="CJ51" i="125"/>
  <c r="CI51" i="125"/>
  <c r="CH51" i="125"/>
  <c r="CG51" i="125"/>
  <c r="CJ50" i="125"/>
  <c r="CI50" i="125"/>
  <c r="CH50" i="125"/>
  <c r="CG50" i="125"/>
  <c r="BV51" i="125"/>
  <c r="BU51" i="125"/>
  <c r="BU50" i="125" s="1"/>
  <c r="BT51" i="125"/>
  <c r="BS51" i="125"/>
  <c r="BS50" i="125" s="1"/>
  <c r="BV50" i="125"/>
  <c r="BT50" i="125"/>
  <c r="BH51" i="125"/>
  <c r="BG51" i="125"/>
  <c r="BF51" i="125"/>
  <c r="BE51" i="125"/>
  <c r="BE50" i="125" s="1"/>
  <c r="BH50" i="125"/>
  <c r="BG50" i="125"/>
  <c r="BF50" i="125"/>
  <c r="BQ51" i="125"/>
  <c r="BQ50" i="125" s="1"/>
  <c r="BC51" i="125"/>
  <c r="BC50" i="125" s="1"/>
  <c r="BC36" i="125"/>
  <c r="BC35" i="125"/>
  <c r="BC34" i="125"/>
  <c r="BC33" i="125"/>
  <c r="BC32" i="125"/>
  <c r="BC31" i="125"/>
  <c r="BC30" i="125"/>
  <c r="BC29" i="125"/>
  <c r="BC28" i="125"/>
  <c r="BC27" i="125"/>
  <c r="BC26" i="125"/>
  <c r="BC25" i="125"/>
  <c r="BC24" i="125"/>
  <c r="BC23" i="125"/>
  <c r="BC22" i="125"/>
  <c r="BC21" i="125"/>
  <c r="BC20" i="125"/>
  <c r="BC71" i="125"/>
  <c r="BC70" i="125"/>
  <c r="BC69" i="125"/>
  <c r="BC68" i="125"/>
  <c r="BC67" i="125"/>
  <c r="BC66" i="125"/>
  <c r="BC65" i="125"/>
  <c r="BC64" i="125"/>
  <c r="BC63" i="125"/>
  <c r="BC62" i="125"/>
  <c r="BC61" i="125"/>
  <c r="BC60" i="125"/>
  <c r="BC59" i="125"/>
  <c r="BC58" i="125"/>
  <c r="BC57" i="125"/>
  <c r="BC56" i="125"/>
  <c r="BC55" i="125"/>
  <c r="BC54" i="125"/>
  <c r="BC53" i="125"/>
  <c r="AO53" i="125"/>
  <c r="AO54" i="125"/>
  <c r="AO20" i="125"/>
  <c r="AO21" i="125"/>
  <c r="AO22" i="125"/>
  <c r="AO23" i="125"/>
  <c r="AO24" i="125"/>
  <c r="AO58" i="125"/>
  <c r="AO59" i="125"/>
  <c r="AR51" i="125"/>
  <c r="AR50" i="125" s="1"/>
  <c r="AS51" i="125"/>
  <c r="AS50" i="125" s="1"/>
  <c r="AT51" i="125"/>
  <c r="AT50" i="125" s="1"/>
  <c r="AQ51" i="125"/>
  <c r="AQ50" i="125" s="1"/>
  <c r="AU51" i="125"/>
  <c r="AU50" i="125" s="1"/>
  <c r="AO51" i="125"/>
  <c r="AO50" i="125" s="1"/>
  <c r="AO28" i="125"/>
  <c r="AA27" i="125"/>
  <c r="U51" i="125"/>
  <c r="U50" i="125" s="1"/>
  <c r="AM51" i="125"/>
  <c r="AM50" i="125" s="1"/>
  <c r="AL51" i="125"/>
  <c r="AL50" i="125" s="1"/>
  <c r="AK51" i="125"/>
  <c r="AK50" i="125" s="1"/>
  <c r="AJ51" i="125"/>
  <c r="AJ50" i="125" s="1"/>
  <c r="AH51" i="125"/>
  <c r="AH50" i="125" s="1"/>
  <c r="AG51" i="125"/>
  <c r="AG50" i="125" s="1"/>
  <c r="AF51" i="125"/>
  <c r="AE51" i="125"/>
  <c r="AE50" i="125" s="1"/>
  <c r="AD51" i="125"/>
  <c r="AD50" i="125" s="1"/>
  <c r="AC51" i="125"/>
  <c r="AC50" i="125" s="1"/>
  <c r="AB51" i="125"/>
  <c r="AB50" i="125" s="1"/>
  <c r="AA51" i="125"/>
  <c r="AA50" i="125" s="1"/>
  <c r="Z51" i="125"/>
  <c r="Z50" i="125" s="1"/>
  <c r="Y51" i="125"/>
  <c r="Y50" i="125" s="1"/>
  <c r="W51" i="125"/>
  <c r="W50" i="125" s="1"/>
  <c r="V51" i="125"/>
  <c r="V50" i="125" s="1"/>
  <c r="AF50" i="125"/>
  <c r="S51" i="125"/>
  <c r="BZ49" i="120" l="1"/>
  <c r="AA33" i="122" s="1"/>
  <c r="AA34" i="122"/>
  <c r="CN49" i="120"/>
  <c r="AF33" i="122" s="1"/>
  <c r="AF34" i="122"/>
  <c r="AJ49" i="120"/>
  <c r="L33" i="122" s="1"/>
  <c r="L34" i="122"/>
  <c r="BL49" i="120"/>
  <c r="CY51" i="125"/>
  <c r="CY50" i="125" s="1"/>
  <c r="Q50" i="120"/>
  <c r="Q49" i="120" s="1"/>
  <c r="BW21" i="125"/>
  <c r="BW20" i="125" s="1"/>
  <c r="U47" i="165" l="1"/>
  <c r="U46" i="165" s="1"/>
  <c r="F51" i="125"/>
  <c r="F50" i="125" s="1"/>
  <c r="G51" i="125"/>
  <c r="H51" i="125"/>
  <c r="H50" i="125" s="1"/>
  <c r="I51" i="125"/>
  <c r="I50" i="125" s="1"/>
  <c r="J51" i="125"/>
  <c r="J50" i="125" s="1"/>
  <c r="K51" i="125"/>
  <c r="K50" i="125" s="1"/>
  <c r="L51" i="125"/>
  <c r="L50" i="125" s="1"/>
  <c r="M51" i="125"/>
  <c r="N51" i="125"/>
  <c r="N50" i="125" s="1"/>
  <c r="O51" i="125"/>
  <c r="O50" i="125" s="1"/>
  <c r="P51" i="125"/>
  <c r="P50" i="125" s="1"/>
  <c r="Q51" i="125"/>
  <c r="Q50" i="125" s="1"/>
  <c r="R51" i="125"/>
  <c r="R50" i="125" s="1"/>
  <c r="S50" i="125"/>
  <c r="G50" i="125"/>
  <c r="M50" i="125"/>
  <c r="U45" i="165" l="1"/>
  <c r="CE22" i="12"/>
  <c r="BZ22" i="12"/>
  <c r="BU22" i="12"/>
  <c r="BU21" i="12" s="1"/>
  <c r="BP22" i="12"/>
  <c r="BK22" i="12"/>
  <c r="BK21" i="12" s="1"/>
  <c r="BF22" i="12"/>
  <c r="BA22" i="12"/>
  <c r="BA21" i="12" s="1"/>
  <c r="AV22" i="12"/>
  <c r="AQ22" i="12"/>
  <c r="AQ21" i="12" s="1"/>
  <c r="AL22" i="12"/>
  <c r="CE21" i="12"/>
  <c r="R50" i="12"/>
  <c r="D49" i="115"/>
  <c r="D48" i="115" s="1"/>
  <c r="E49" i="115"/>
  <c r="E48" i="115" s="1"/>
  <c r="E46" i="115" s="1"/>
  <c r="E45" i="115" s="1"/>
  <c r="E44" i="115" s="1"/>
  <c r="E43" i="115" s="1"/>
  <c r="E42" i="115" s="1"/>
  <c r="E41" i="115" s="1"/>
  <c r="E40" i="115" s="1"/>
  <c r="E39" i="115" s="1"/>
  <c r="E38" i="115" s="1"/>
  <c r="E37" i="115" s="1"/>
  <c r="E36" i="115" s="1"/>
  <c r="E35" i="115" s="1"/>
  <c r="F49" i="115"/>
  <c r="G49" i="115"/>
  <c r="G48" i="115" s="1"/>
  <c r="J49" i="115"/>
  <c r="J48" i="115" s="1"/>
  <c r="L49" i="115"/>
  <c r="L48" i="115" s="1"/>
  <c r="M49" i="115"/>
  <c r="M48" i="115" s="1"/>
  <c r="O49" i="115"/>
  <c r="O48" i="115" s="1"/>
  <c r="Q49" i="115"/>
  <c r="Q48" i="115" s="1"/>
  <c r="R49" i="115"/>
  <c r="R48" i="115" s="1"/>
  <c r="T49" i="115"/>
  <c r="T48" i="115" s="1"/>
  <c r="U49" i="115"/>
  <c r="U48" i="115" s="1"/>
  <c r="V49" i="115"/>
  <c r="V48" i="115" s="1"/>
  <c r="W49" i="115"/>
  <c r="W48" i="115" s="1"/>
  <c r="X49" i="115"/>
  <c r="X48" i="115" s="1"/>
  <c r="Y49" i="115"/>
  <c r="Y48" i="115" s="1"/>
  <c r="Z49" i="115"/>
  <c r="Z48" i="115" s="1"/>
  <c r="AA49" i="115"/>
  <c r="AA48" i="115" s="1"/>
  <c r="AB49" i="115"/>
  <c r="AB48" i="115" s="1"/>
  <c r="AC49" i="115"/>
  <c r="AC48" i="115" s="1"/>
  <c r="F48" i="115" l="1"/>
  <c r="F46" i="115" s="1"/>
  <c r="F45" i="115" s="1"/>
  <c r="F44" i="115" s="1"/>
  <c r="F43" i="115" s="1"/>
  <c r="F42" i="115" s="1"/>
  <c r="F41" i="115" s="1"/>
  <c r="F40" i="115" s="1"/>
  <c r="F39" i="115" s="1"/>
  <c r="F38" i="115" s="1"/>
  <c r="F37" i="115" s="1"/>
  <c r="F36" i="115" s="1"/>
  <c r="F35" i="115" s="1"/>
  <c r="F47" i="115"/>
  <c r="AM50" i="115"/>
  <c r="AM49" i="115" s="1"/>
  <c r="AM48" i="115" s="1"/>
  <c r="AD50" i="115"/>
  <c r="AD49" i="115" s="1"/>
  <c r="AD48" i="115" s="1"/>
  <c r="I48" i="115" l="1"/>
  <c r="BB48" i="12" l="1"/>
  <c r="AX50" i="12"/>
  <c r="P49" i="12"/>
  <c r="P48" i="12" s="1"/>
  <c r="CB50" i="12"/>
  <c r="BW50" i="12" s="1"/>
  <c r="BR50" i="12"/>
  <c r="BM50" i="12" s="1"/>
  <c r="BH50" i="12"/>
  <c r="CM49" i="12"/>
  <c r="CM48" i="12" s="1"/>
  <c r="CN49" i="12"/>
  <c r="CN48" i="12" s="1"/>
  <c r="CO50" i="12"/>
  <c r="CJ50" i="12" s="1"/>
  <c r="CH50" i="12"/>
  <c r="CI50" i="12"/>
  <c r="CI49" i="12" s="1"/>
  <c r="CI48" i="12" s="1"/>
  <c r="AR50" i="12"/>
  <c r="CP50" i="12" s="1"/>
  <c r="N49" i="12"/>
  <c r="N48" i="12" s="1"/>
  <c r="O49" i="12"/>
  <c r="O48" i="12" s="1"/>
  <c r="Q49" i="12"/>
  <c r="V49" i="12"/>
  <c r="V48" i="12" s="1"/>
  <c r="W49" i="12"/>
  <c r="W48" i="12" s="1"/>
  <c r="X49" i="12"/>
  <c r="X48" i="12" s="1"/>
  <c r="Y49" i="12"/>
  <c r="Y48" i="12" s="1"/>
  <c r="Z49" i="12"/>
  <c r="Z48" i="12" s="1"/>
  <c r="AA49" i="12"/>
  <c r="AA48" i="12" s="1"/>
  <c r="AB49" i="12"/>
  <c r="AB48" i="12" s="1"/>
  <c r="AC49" i="12"/>
  <c r="AC48" i="12" s="1"/>
  <c r="AD49" i="12"/>
  <c r="AD48" i="12" s="1"/>
  <c r="AE49" i="12"/>
  <c r="AE48" i="12" s="1"/>
  <c r="AF49" i="12"/>
  <c r="AF48" i="12" s="1"/>
  <c r="AG49" i="12"/>
  <c r="AG48" i="12" s="1"/>
  <c r="AH49" i="12"/>
  <c r="AH48" i="12" s="1"/>
  <c r="AI49" i="12"/>
  <c r="AI48" i="12" s="1"/>
  <c r="AJ49" i="12"/>
  <c r="AJ48" i="12" s="1"/>
  <c r="AK49" i="12"/>
  <c r="AK48" i="12" s="1"/>
  <c r="AL49" i="12"/>
  <c r="AL48" i="12" s="1"/>
  <c r="AM49" i="12"/>
  <c r="AM48" i="12" s="1"/>
  <c r="AN49" i="12"/>
  <c r="AN48" i="12" s="1"/>
  <c r="AO49" i="12"/>
  <c r="AO48" i="12" s="1"/>
  <c r="AP49" i="12"/>
  <c r="AP48" i="12" s="1"/>
  <c r="AQ49" i="12"/>
  <c r="AQ48" i="12" s="1"/>
  <c r="AS49" i="12"/>
  <c r="AS48" i="12" s="1"/>
  <c r="AT49" i="12"/>
  <c r="AT48" i="12" s="1"/>
  <c r="AU49" i="12"/>
  <c r="AU48" i="12" s="1"/>
  <c r="AW49" i="12"/>
  <c r="AW48" i="12" s="1"/>
  <c r="AY49" i="12"/>
  <c r="AY48" i="12" s="1"/>
  <c r="AZ49" i="12"/>
  <c r="AZ48" i="12" s="1"/>
  <c r="BA48" i="12"/>
  <c r="BD49" i="12"/>
  <c r="BD48" i="12" s="1"/>
  <c r="BE49" i="12"/>
  <c r="BE48" i="12" s="1"/>
  <c r="BI49" i="12"/>
  <c r="BI48" i="12" s="1"/>
  <c r="BJ49" i="12"/>
  <c r="BJ48" i="12" s="1"/>
  <c r="BK49" i="12"/>
  <c r="BL49" i="12"/>
  <c r="BN49" i="12"/>
  <c r="BN48" i="12" s="1"/>
  <c r="BO49" i="12"/>
  <c r="BO48" i="12" s="1"/>
  <c r="BS49" i="12"/>
  <c r="BS48" i="12" s="1"/>
  <c r="BT49" i="12"/>
  <c r="BT48" i="12" s="1"/>
  <c r="BU49" i="12"/>
  <c r="BV49" i="12"/>
  <c r="BX49" i="12"/>
  <c r="BX48" i="12" s="1"/>
  <c r="BY49" i="12"/>
  <c r="BY48" i="12" s="1"/>
  <c r="CC49" i="12"/>
  <c r="CC48" i="12" s="1"/>
  <c r="CD49" i="12"/>
  <c r="CD48" i="12" s="1"/>
  <c r="CE49" i="12"/>
  <c r="CF49" i="12"/>
  <c r="CH49" i="12"/>
  <c r="CH48" i="12" s="1"/>
  <c r="CJ49" i="12"/>
  <c r="CJ48" i="12" s="1"/>
  <c r="S50" i="12" l="1"/>
  <c r="AR49" i="12"/>
  <c r="AR48" i="12" s="1"/>
  <c r="BU48" i="12"/>
  <c r="BP49" i="12"/>
  <c r="CF48" i="12"/>
  <c r="CA48" i="12" s="1"/>
  <c r="CA49" i="12"/>
  <c r="BL48" i="12"/>
  <c r="BG48" i="12" s="1"/>
  <c r="BG49" i="12"/>
  <c r="CE48" i="12"/>
  <c r="BZ49" i="12"/>
  <c r="BK48" i="12"/>
  <c r="BF49" i="12"/>
  <c r="BV48" i="12"/>
  <c r="BQ48" i="12" s="1"/>
  <c r="BQ49" i="12"/>
  <c r="BA20" i="12"/>
  <c r="BA19" i="12"/>
  <c r="AJ50" i="115"/>
  <c r="BR52" i="125" s="1"/>
  <c r="BR51" i="125" s="1"/>
  <c r="BR50" i="125" s="1"/>
  <c r="CO49" i="12"/>
  <c r="CO48" i="12" s="1"/>
  <c r="CO20" i="12" s="1"/>
  <c r="I47" i="165"/>
  <c r="CB49" i="12"/>
  <c r="AL50" i="115"/>
  <c r="BR49" i="12"/>
  <c r="BH49" i="12"/>
  <c r="BH48" i="12" s="1"/>
  <c r="AH50" i="115"/>
  <c r="R49" i="12"/>
  <c r="R48" i="12" s="1"/>
  <c r="AF50" i="115"/>
  <c r="AX49" i="12"/>
  <c r="AX48" i="12" s="1"/>
  <c r="T49" i="12"/>
  <c r="T48" i="12" s="1"/>
  <c r="CL50" i="12"/>
  <c r="K49" i="12"/>
  <c r="K48" i="12" s="1"/>
  <c r="I46" i="165" l="1"/>
  <c r="I45" i="165" s="1"/>
  <c r="I17" i="165"/>
  <c r="I16" i="165" s="1"/>
  <c r="I15" i="165" s="1"/>
  <c r="S49" i="12"/>
  <c r="P50" i="115"/>
  <c r="AN50" i="115" s="1"/>
  <c r="CE20" i="12"/>
  <c r="BZ48" i="12"/>
  <c r="CB48" i="12"/>
  <c r="BW48" i="12" s="1"/>
  <c r="BW49" i="12"/>
  <c r="BR48" i="12"/>
  <c r="BM48" i="12" s="1"/>
  <c r="BM49" i="12"/>
  <c r="BK20" i="12"/>
  <c r="BK19" i="12" s="1"/>
  <c r="BK18" i="12" s="1"/>
  <c r="F20" i="193" s="1"/>
  <c r="F18" i="193" s="1"/>
  <c r="F17" i="193" s="1"/>
  <c r="BF48" i="12"/>
  <c r="BU20" i="12"/>
  <c r="BP48" i="12"/>
  <c r="BA18" i="12"/>
  <c r="E20" i="193" s="1"/>
  <c r="E18" i="193" s="1"/>
  <c r="E17" i="193" s="1"/>
  <c r="AJ49" i="115"/>
  <c r="AJ48" i="115" s="1"/>
  <c r="CF52" i="125"/>
  <c r="CF51" i="125" s="1"/>
  <c r="CF50" i="125" s="1"/>
  <c r="AL49" i="115"/>
  <c r="AL48" i="115" s="1"/>
  <c r="BD52" i="125"/>
  <c r="BD51" i="125" s="1"/>
  <c r="BD50" i="125" s="1"/>
  <c r="AH49" i="115"/>
  <c r="AH48" i="115" s="1"/>
  <c r="CP49" i="12"/>
  <c r="CP48" i="12" s="1"/>
  <c r="J47" i="165"/>
  <c r="AF49" i="115"/>
  <c r="AF48" i="115" s="1"/>
  <c r="CL49" i="12"/>
  <c r="L50" i="12"/>
  <c r="L49" i="12" s="1"/>
  <c r="L48" i="12" s="1"/>
  <c r="S48" i="12" l="1"/>
  <c r="P48" i="115" s="1"/>
  <c r="AN48" i="115" s="1"/>
  <c r="P49" i="115"/>
  <c r="AN49" i="115" s="1"/>
  <c r="E52" i="125"/>
  <c r="CT52" i="125" s="1"/>
  <c r="BU19" i="12"/>
  <c r="BP20" i="12"/>
  <c r="CE19" i="12"/>
  <c r="BZ20" i="12"/>
  <c r="CL48" i="12"/>
  <c r="D47" i="165"/>
  <c r="S49" i="115"/>
  <c r="S48" i="115" s="1"/>
  <c r="J46" i="165"/>
  <c r="J45" i="165" s="1"/>
  <c r="F47" i="165"/>
  <c r="O57" i="115"/>
  <c r="E50" i="125" l="1"/>
  <c r="CT50" i="125" s="1"/>
  <c r="E51" i="125"/>
  <c r="CT51" i="125" s="1"/>
  <c r="CE18" i="12"/>
  <c r="BZ19" i="12"/>
  <c r="BU18" i="12"/>
  <c r="BP19" i="12"/>
  <c r="M47" i="165"/>
  <c r="D46" i="165"/>
  <c r="F46" i="165"/>
  <c r="F45" i="165" s="1"/>
  <c r="K47" i="165"/>
  <c r="K46" i="165" s="1"/>
  <c r="K45" i="165" s="1"/>
  <c r="DE52" i="120"/>
  <c r="DE21" i="120" s="1"/>
  <c r="DE20" i="120" s="1"/>
  <c r="DE19" i="120" s="1"/>
  <c r="CW53" i="120"/>
  <c r="CW52" i="120" s="1"/>
  <c r="CW21" i="120" s="1"/>
  <c r="CW20" i="120" s="1"/>
  <c r="CW19" i="120" s="1"/>
  <c r="CU23" i="120"/>
  <c r="CU22" i="120" s="1"/>
  <c r="CU21" i="120" s="1"/>
  <c r="CU20" i="120" s="1"/>
  <c r="CU19" i="120" s="1"/>
  <c r="CC53" i="120"/>
  <c r="CC52" i="120" s="1"/>
  <c r="CC21" i="120" s="1"/>
  <c r="CC20" i="120" s="1"/>
  <c r="CC19" i="120" s="1"/>
  <c r="CG23" i="120"/>
  <c r="CG22" i="120" s="1"/>
  <c r="CG21" i="120" s="1"/>
  <c r="CG20" i="120" s="1"/>
  <c r="CG19" i="120" s="1"/>
  <c r="CI21" i="120"/>
  <c r="CI20" i="120" s="1"/>
  <c r="CI19" i="120" s="1"/>
  <c r="BO52" i="120"/>
  <c r="BO21" i="120" s="1"/>
  <c r="BO20" i="120" s="1"/>
  <c r="BO19" i="120" s="1"/>
  <c r="BU52" i="120"/>
  <c r="BU21" i="120" s="1"/>
  <c r="BU20" i="120" s="1"/>
  <c r="BU19" i="120" s="1"/>
  <c r="BS22" i="120"/>
  <c r="BS21" i="120" s="1"/>
  <c r="BS20" i="120" s="1"/>
  <c r="BS19" i="120" s="1"/>
  <c r="BG53" i="120"/>
  <c r="BG52" i="120" s="1"/>
  <c r="BA52" i="120"/>
  <c r="BA21" i="120" s="1"/>
  <c r="BA20" i="120" s="1"/>
  <c r="BA19" i="120" s="1"/>
  <c r="AS21" i="120"/>
  <c r="AM21" i="120"/>
  <c r="AS20" i="120"/>
  <c r="AS19" i="120" s="1"/>
  <c r="AM20" i="120"/>
  <c r="AM19" i="120" s="1"/>
  <c r="Q53" i="120"/>
  <c r="Q52" i="120" s="1"/>
  <c r="Q21" i="120" s="1"/>
  <c r="K52" i="120"/>
  <c r="K21" i="120" s="1"/>
  <c r="K20" i="120" s="1"/>
  <c r="K19" i="120" s="1"/>
  <c r="BW54" i="119"/>
  <c r="BW53" i="119" s="1"/>
  <c r="BU24" i="119"/>
  <c r="BU23" i="119" s="1"/>
  <c r="BU22" i="119" s="1"/>
  <c r="BU21" i="119" s="1"/>
  <c r="BU20" i="119" s="1"/>
  <c r="BG54" i="119"/>
  <c r="BG53" i="119" s="1"/>
  <c r="BG22" i="119" s="1"/>
  <c r="BG21" i="119" s="1"/>
  <c r="BG20" i="119" s="1"/>
  <c r="BI24" i="119"/>
  <c r="BI23" i="119" s="1"/>
  <c r="BI22" i="119" s="1"/>
  <c r="BI21" i="119" s="1"/>
  <c r="BI20" i="119" s="1"/>
  <c r="AY53" i="119"/>
  <c r="AY22" i="119" s="1"/>
  <c r="AY21" i="119" s="1"/>
  <c r="AY20" i="119" s="1"/>
  <c r="AU53" i="119"/>
  <c r="AU22" i="119" s="1"/>
  <c r="AU21" i="119" s="1"/>
  <c r="AU20" i="119" s="1"/>
  <c r="AW23" i="119"/>
  <c r="AW22" i="119" s="1"/>
  <c r="AW21" i="119" s="1"/>
  <c r="AW20" i="119" s="1"/>
  <c r="AM54" i="119"/>
  <c r="AM53" i="119" s="1"/>
  <c r="AI53" i="119"/>
  <c r="AI22" i="119" s="1"/>
  <c r="AI21" i="119" s="1"/>
  <c r="AI20" i="119" s="1"/>
  <c r="AK23" i="119"/>
  <c r="AK22" i="119" s="1"/>
  <c r="AK21" i="119" s="1"/>
  <c r="AK20" i="119" s="1"/>
  <c r="AA54" i="119"/>
  <c r="AA53" i="119" s="1"/>
  <c r="W54" i="119"/>
  <c r="W53" i="119" s="1"/>
  <c r="W22" i="119" s="1"/>
  <c r="W21" i="119" s="1"/>
  <c r="W20" i="119" s="1"/>
  <c r="Y27" i="119"/>
  <c r="Y24" i="119" s="1"/>
  <c r="Y23" i="119" s="1"/>
  <c r="Y22" i="119" s="1"/>
  <c r="Y21" i="119" s="1"/>
  <c r="Y20" i="119" s="1"/>
  <c r="V27" i="126"/>
  <c r="CY56" i="125"/>
  <c r="CY58" i="125"/>
  <c r="CY60" i="125"/>
  <c r="CY61" i="125"/>
  <c r="CY63" i="125"/>
  <c r="CY64" i="125"/>
  <c r="CY65" i="125"/>
  <c r="CY66" i="125"/>
  <c r="CY67" i="125"/>
  <c r="CY68" i="125"/>
  <c r="CY69" i="125"/>
  <c r="CY55" i="125"/>
  <c r="CU57" i="125"/>
  <c r="CU59" i="125"/>
  <c r="CU62" i="125"/>
  <c r="CU70" i="125"/>
  <c r="CI26" i="125"/>
  <c r="CI27" i="125"/>
  <c r="CI28" i="125"/>
  <c r="CI29" i="125"/>
  <c r="CI30" i="125"/>
  <c r="CI31" i="125"/>
  <c r="CI32" i="125"/>
  <c r="CI33" i="125"/>
  <c r="CI25" i="125"/>
  <c r="CK71" i="125"/>
  <c r="CF56" i="125"/>
  <c r="CF57" i="125"/>
  <c r="CF58" i="125"/>
  <c r="CF59" i="125"/>
  <c r="CF60" i="125"/>
  <c r="CF61" i="125"/>
  <c r="CF62" i="125"/>
  <c r="CF63" i="125"/>
  <c r="CF64" i="125"/>
  <c r="CF65" i="125"/>
  <c r="CF66" i="125"/>
  <c r="CF67" i="125"/>
  <c r="CF68" i="125"/>
  <c r="CF69" i="125"/>
  <c r="CF55" i="125"/>
  <c r="CF26" i="125"/>
  <c r="CF27" i="125"/>
  <c r="CF28" i="125"/>
  <c r="CF29" i="125"/>
  <c r="CF30" i="125"/>
  <c r="CF31" i="125"/>
  <c r="CF32" i="125"/>
  <c r="CF33" i="125"/>
  <c r="CF25" i="125"/>
  <c r="BU26" i="125"/>
  <c r="BU27" i="125"/>
  <c r="BU28" i="125"/>
  <c r="BU29" i="125"/>
  <c r="BU30" i="125"/>
  <c r="BU31" i="125"/>
  <c r="BU32" i="125"/>
  <c r="BU34" i="125"/>
  <c r="BU35" i="125"/>
  <c r="BU36" i="125"/>
  <c r="BU25" i="125"/>
  <c r="BS56" i="125"/>
  <c r="BS57" i="125"/>
  <c r="BS58" i="125"/>
  <c r="BS59" i="125"/>
  <c r="BS60" i="125"/>
  <c r="BS61" i="125"/>
  <c r="BS62" i="125"/>
  <c r="BS70" i="125"/>
  <c r="BS71" i="125"/>
  <c r="BS55" i="125"/>
  <c r="BG26" i="125"/>
  <c r="BS25" i="120" s="1"/>
  <c r="BG27" i="125"/>
  <c r="BS26" i="120" s="1"/>
  <c r="BG28" i="125"/>
  <c r="BS27" i="120" s="1"/>
  <c r="BG29" i="125"/>
  <c r="BS28" i="120" s="1"/>
  <c r="BG30" i="125"/>
  <c r="BS29" i="120" s="1"/>
  <c r="BG33" i="125"/>
  <c r="BS32" i="120" s="1"/>
  <c r="BG34" i="125"/>
  <c r="BS33" i="120" s="1"/>
  <c r="BG35" i="125"/>
  <c r="BS34" i="120" s="1"/>
  <c r="BG36" i="125"/>
  <c r="BS35" i="120" s="1"/>
  <c r="BG25" i="125"/>
  <c r="BD56" i="125"/>
  <c r="BD57" i="125"/>
  <c r="BD58" i="125"/>
  <c r="BD59" i="125"/>
  <c r="BD55" i="125"/>
  <c r="BD26" i="125"/>
  <c r="BD27" i="125"/>
  <c r="BD28" i="125"/>
  <c r="BD29" i="125"/>
  <c r="BD30" i="125"/>
  <c r="BD33" i="125"/>
  <c r="BD34" i="125"/>
  <c r="BD35" i="125"/>
  <c r="BD36" i="125"/>
  <c r="BD25" i="125"/>
  <c r="AS26" i="125"/>
  <c r="BE25" i="120" s="1"/>
  <c r="AS27" i="125"/>
  <c r="BE26" i="120" s="1"/>
  <c r="AS31" i="125"/>
  <c r="AS32" i="125"/>
  <c r="AS33" i="125"/>
  <c r="AS34" i="125"/>
  <c r="AS35" i="125"/>
  <c r="AS36" i="125"/>
  <c r="AS25" i="125"/>
  <c r="BE24" i="120" s="1"/>
  <c r="AO56" i="125"/>
  <c r="AO57" i="125"/>
  <c r="AO60" i="125"/>
  <c r="AO61" i="125"/>
  <c r="AO62" i="125"/>
  <c r="AO63" i="125"/>
  <c r="AO64" i="125"/>
  <c r="AO65" i="125"/>
  <c r="AO66" i="125"/>
  <c r="AO67" i="125"/>
  <c r="AO68" i="125"/>
  <c r="AO69" i="125"/>
  <c r="AO70" i="125"/>
  <c r="AO71" i="125"/>
  <c r="AO55" i="125"/>
  <c r="AO26" i="125"/>
  <c r="AO27" i="125"/>
  <c r="AO31" i="125"/>
  <c r="AO32" i="125"/>
  <c r="AO33" i="125"/>
  <c r="AO34" i="125"/>
  <c r="AO35" i="125"/>
  <c r="AO25" i="125"/>
  <c r="AA58" i="125"/>
  <c r="AA59" i="125"/>
  <c r="AA60" i="125"/>
  <c r="AA61" i="125"/>
  <c r="AA62" i="125"/>
  <c r="AA63" i="125"/>
  <c r="AA64" i="125"/>
  <c r="AA65" i="125"/>
  <c r="AA66" i="125"/>
  <c r="AA67" i="125"/>
  <c r="AA68" i="125"/>
  <c r="AA69" i="125"/>
  <c r="AA70" i="125"/>
  <c r="AA71" i="125"/>
  <c r="AA28" i="125"/>
  <c r="AA29" i="125"/>
  <c r="AA30" i="125"/>
  <c r="AA31" i="125"/>
  <c r="AA32" i="125"/>
  <c r="AA33" i="125"/>
  <c r="AA34" i="125"/>
  <c r="AA35" i="125"/>
  <c r="AA36" i="125"/>
  <c r="AE29" i="125"/>
  <c r="AE30" i="125"/>
  <c r="AE31" i="125"/>
  <c r="AE32" i="125"/>
  <c r="AE33" i="125"/>
  <c r="AE34" i="125"/>
  <c r="AE35" i="125"/>
  <c r="AE36" i="125"/>
  <c r="AE28" i="125"/>
  <c r="AE27" i="125"/>
  <c r="AL54" i="115"/>
  <c r="AL55" i="115"/>
  <c r="AL56" i="115"/>
  <c r="AL57" i="115"/>
  <c r="AL58" i="115"/>
  <c r="AL59" i="115"/>
  <c r="AL60" i="115"/>
  <c r="AL61" i="115"/>
  <c r="AL62" i="115"/>
  <c r="AL63" i="115"/>
  <c r="AL64" i="115"/>
  <c r="AL65" i="115"/>
  <c r="AL66" i="115"/>
  <c r="AL67" i="115"/>
  <c r="AL53" i="115"/>
  <c r="AL24" i="115"/>
  <c r="AL25" i="115"/>
  <c r="AL26" i="115"/>
  <c r="AL27" i="115"/>
  <c r="AL28" i="115"/>
  <c r="AL29" i="115"/>
  <c r="AL30" i="115"/>
  <c r="AL31" i="115"/>
  <c r="AL23" i="115"/>
  <c r="AJ54" i="115"/>
  <c r="AJ55" i="115"/>
  <c r="AJ56" i="115"/>
  <c r="AJ57" i="115"/>
  <c r="AJ58" i="115"/>
  <c r="AJ59" i="115"/>
  <c r="AJ60" i="115"/>
  <c r="AJ68" i="115"/>
  <c r="AJ69" i="115"/>
  <c r="AJ53" i="115"/>
  <c r="AJ24" i="115"/>
  <c r="AJ25" i="115"/>
  <c r="AJ26" i="115"/>
  <c r="AJ27" i="115"/>
  <c r="AJ28" i="115"/>
  <c r="AJ29" i="115"/>
  <c r="AJ30" i="115"/>
  <c r="AJ32" i="115"/>
  <c r="AJ33" i="115"/>
  <c r="AJ34" i="115"/>
  <c r="AJ23" i="115"/>
  <c r="AH54" i="115"/>
  <c r="AH55" i="115"/>
  <c r="AH56" i="115"/>
  <c r="AH57" i="115"/>
  <c r="AH61" i="115"/>
  <c r="AH62" i="115"/>
  <c r="AH63" i="115"/>
  <c r="AH64" i="115"/>
  <c r="AH65" i="115"/>
  <c r="AH66" i="115"/>
  <c r="AH67" i="115"/>
  <c r="AH68" i="115"/>
  <c r="AH69" i="115"/>
  <c r="AH53" i="115"/>
  <c r="AH24" i="115"/>
  <c r="AH25" i="115"/>
  <c r="AH26" i="115"/>
  <c r="AH27" i="115"/>
  <c r="AH28" i="115"/>
  <c r="AH31" i="115"/>
  <c r="AH32" i="115"/>
  <c r="AH33" i="115"/>
  <c r="AH34" i="115"/>
  <c r="AH23" i="115"/>
  <c r="AF54" i="115"/>
  <c r="AF55" i="115"/>
  <c r="AF58" i="115"/>
  <c r="AF59" i="115"/>
  <c r="AF60" i="115"/>
  <c r="AF61" i="115"/>
  <c r="AF62" i="115"/>
  <c r="AF63" i="115"/>
  <c r="AF64" i="115"/>
  <c r="AF65" i="115"/>
  <c r="AF66" i="115"/>
  <c r="AF67" i="115"/>
  <c r="AF68" i="115"/>
  <c r="AF69" i="115"/>
  <c r="AF53" i="115"/>
  <c r="AF24" i="115"/>
  <c r="AF25" i="115"/>
  <c r="AF23" i="115"/>
  <c r="AD56" i="115"/>
  <c r="AD57" i="115"/>
  <c r="AD58" i="115"/>
  <c r="AD59" i="115"/>
  <c r="AD60" i="115"/>
  <c r="AD61" i="115"/>
  <c r="AD62" i="115"/>
  <c r="AD63" i="115"/>
  <c r="AD64" i="115"/>
  <c r="AD65" i="115"/>
  <c r="AD66" i="115"/>
  <c r="AD67" i="115"/>
  <c r="AD68" i="115"/>
  <c r="AD69" i="115"/>
  <c r="AD26" i="115"/>
  <c r="AD27" i="115"/>
  <c r="AD28" i="115"/>
  <c r="AD29" i="115"/>
  <c r="AD30" i="115"/>
  <c r="AD31" i="115"/>
  <c r="AD32" i="115"/>
  <c r="AD33" i="115"/>
  <c r="AD34" i="115"/>
  <c r="S30" i="115"/>
  <c r="S31" i="115"/>
  <c r="S32" i="115"/>
  <c r="Q33" i="115"/>
  <c r="S33" i="115"/>
  <c r="S34" i="115"/>
  <c r="O59" i="115"/>
  <c r="N59" i="115"/>
  <c r="M59" i="115"/>
  <c r="L59" i="115"/>
  <c r="N58" i="115"/>
  <c r="M58" i="115"/>
  <c r="L58" i="115"/>
  <c r="N57" i="115"/>
  <c r="M57" i="115"/>
  <c r="L57" i="115"/>
  <c r="O56" i="115"/>
  <c r="N56" i="115"/>
  <c r="M56" i="115"/>
  <c r="L56" i="115"/>
  <c r="O55" i="115"/>
  <c r="N55" i="115"/>
  <c r="M55" i="115"/>
  <c r="L55" i="115"/>
  <c r="O54" i="115"/>
  <c r="N54" i="115"/>
  <c r="M54" i="115"/>
  <c r="L54" i="115"/>
  <c r="O53" i="115"/>
  <c r="N53" i="115"/>
  <c r="M53" i="115"/>
  <c r="L53" i="115"/>
  <c r="T32" i="115"/>
  <c r="T34" i="115"/>
  <c r="Q34" i="115"/>
  <c r="T33" i="115"/>
  <c r="Q32" i="115"/>
  <c r="R32" i="115" s="1"/>
  <c r="T31" i="115"/>
  <c r="Q31" i="115"/>
  <c r="T29" i="115"/>
  <c r="Q29" i="115"/>
  <c r="Q23" i="115"/>
  <c r="L25" i="12"/>
  <c r="K54" i="12"/>
  <c r="K55" i="12"/>
  <c r="AF57" i="115"/>
  <c r="AF52" i="115" s="1"/>
  <c r="K61" i="12"/>
  <c r="K62" i="12"/>
  <c r="K63" i="12"/>
  <c r="K64" i="12"/>
  <c r="K65" i="12"/>
  <c r="K66" i="12"/>
  <c r="K67" i="12"/>
  <c r="K68" i="12"/>
  <c r="K69" i="12"/>
  <c r="K53" i="12"/>
  <c r="K31" i="12"/>
  <c r="K32" i="12"/>
  <c r="K33" i="12"/>
  <c r="K34" i="12"/>
  <c r="K24" i="12"/>
  <c r="K23" i="12"/>
  <c r="N50" i="189"/>
  <c r="N49" i="189" s="1"/>
  <c r="N45" i="189" s="1"/>
  <c r="N28" i="189" s="1"/>
  <c r="N22" i="189" s="1"/>
  <c r="N20" i="189" s="1"/>
  <c r="N50" i="190"/>
  <c r="N49" i="190" s="1"/>
  <c r="N45" i="190" s="1"/>
  <c r="N28" i="190" s="1"/>
  <c r="N22" i="190" s="1"/>
  <c r="N20" i="190" s="1"/>
  <c r="N45" i="192"/>
  <c r="N28" i="192" s="1"/>
  <c r="N22" i="192" s="1"/>
  <c r="N20" i="192" s="1"/>
  <c r="N50" i="151"/>
  <c r="N49" i="151" s="1"/>
  <c r="N45" i="151" s="1"/>
  <c r="N28" i="151" s="1"/>
  <c r="N22" i="151" s="1"/>
  <c r="N20" i="151" s="1"/>
  <c r="L45" i="191"/>
  <c r="L22" i="191" s="1"/>
  <c r="L20" i="191" s="1"/>
  <c r="J66" i="191"/>
  <c r="J64" i="191" s="1"/>
  <c r="J45" i="191" s="1"/>
  <c r="J28" i="191" s="1"/>
  <c r="J22" i="191" s="1"/>
  <c r="J20" i="191" s="1"/>
  <c r="H54" i="115"/>
  <c r="I54" i="115" s="1"/>
  <c r="H55" i="115"/>
  <c r="I55" i="115" s="1"/>
  <c r="H56" i="115"/>
  <c r="H57" i="115"/>
  <c r="H58" i="115"/>
  <c r="H59" i="115"/>
  <c r="H60" i="115"/>
  <c r="H61" i="115"/>
  <c r="H62" i="115"/>
  <c r="H63" i="115"/>
  <c r="H64" i="115"/>
  <c r="H65" i="115"/>
  <c r="H66" i="115"/>
  <c r="H67" i="115"/>
  <c r="H68" i="115"/>
  <c r="H53" i="115"/>
  <c r="I53" i="115" s="1"/>
  <c r="BE33" i="120" l="1"/>
  <c r="O33" i="120"/>
  <c r="BE32" i="120"/>
  <c r="O32" i="120"/>
  <c r="BS24" i="120"/>
  <c r="BE35" i="120"/>
  <c r="O35" i="120"/>
  <c r="BE31" i="120"/>
  <c r="O31" i="120"/>
  <c r="BE34" i="120"/>
  <c r="O34" i="120"/>
  <c r="BE30" i="120"/>
  <c r="BE23" i="120" s="1"/>
  <c r="BE22" i="120" s="1"/>
  <c r="BE21" i="120" s="1"/>
  <c r="BE20" i="120" s="1"/>
  <c r="BE19" i="120" s="1"/>
  <c r="O30" i="120"/>
  <c r="Q54" i="115"/>
  <c r="T54" i="115"/>
  <c r="Q55" i="115"/>
  <c r="T55" i="115"/>
  <c r="Q53" i="115"/>
  <c r="T53" i="115"/>
  <c r="CW27" i="125"/>
  <c r="P22" i="165" s="1"/>
  <c r="R23" i="115"/>
  <c r="S22" i="115"/>
  <c r="S21" i="115" s="1"/>
  <c r="R29" i="115"/>
  <c r="R31" i="115"/>
  <c r="R34" i="115"/>
  <c r="R33" i="115"/>
  <c r="G20" i="193"/>
  <c r="G18" i="193" s="1"/>
  <c r="G17" i="193" s="1"/>
  <c r="BP18" i="12"/>
  <c r="H52" i="115"/>
  <c r="H20" i="193"/>
  <c r="H18" i="193" s="1"/>
  <c r="H17" i="193" s="1"/>
  <c r="BZ18" i="12"/>
  <c r="BG21" i="120"/>
  <c r="BG20" i="120" s="1"/>
  <c r="BG19" i="120" s="1"/>
  <c r="AM22" i="119"/>
  <c r="AM21" i="119" s="1"/>
  <c r="AM20" i="119" s="1"/>
  <c r="K22" i="12"/>
  <c r="Q20" i="120"/>
  <c r="Q19" i="120" s="1"/>
  <c r="BE53" i="125"/>
  <c r="BE22" i="125" s="1"/>
  <c r="BE21" i="125" s="1"/>
  <c r="BE20" i="125" s="1"/>
  <c r="BW21" i="119"/>
  <c r="BW20" i="119" s="1"/>
  <c r="AA20" i="119"/>
  <c r="D45" i="165"/>
  <c r="M46" i="165"/>
  <c r="M45" i="165" s="1"/>
  <c r="M22" i="165"/>
  <c r="L28" i="191"/>
  <c r="M54" i="165"/>
  <c r="O26" i="120" l="1"/>
  <c r="R53" i="115"/>
  <c r="S53" i="115" s="1"/>
  <c r="R54" i="115"/>
  <c r="S54" i="115" s="1"/>
  <c r="M23" i="165"/>
  <c r="O23" i="120"/>
  <c r="O22" i="120" s="1"/>
  <c r="O21" i="120" s="1"/>
  <c r="O20" i="120" s="1"/>
  <c r="O19" i="120" s="1"/>
  <c r="S27" i="126"/>
  <c r="M53" i="165"/>
  <c r="M27" i="165"/>
  <c r="AD25" i="115"/>
  <c r="M50" i="165"/>
  <c r="M51" i="165"/>
  <c r="M21" i="165"/>
  <c r="M56" i="165"/>
  <c r="M25" i="165"/>
  <c r="M30" i="165"/>
  <c r="M28" i="165"/>
  <c r="M31" i="165"/>
  <c r="M29" i="165"/>
  <c r="M20" i="165"/>
  <c r="M26" i="165"/>
  <c r="M24" i="165"/>
  <c r="AQ26" i="120"/>
  <c r="L23" i="122" s="1"/>
  <c r="M19" i="165" l="1"/>
  <c r="E27" i="125"/>
  <c r="AQ23" i="120"/>
  <c r="AQ22" i="120" s="1"/>
  <c r="AQ21" i="120" s="1"/>
  <c r="AQ20" i="120" s="1"/>
  <c r="AQ19" i="120" s="1"/>
  <c r="DI26" i="120"/>
  <c r="AC23" i="115"/>
  <c r="CO25" i="12"/>
  <c r="CO27" i="12"/>
  <c r="CO28" i="12"/>
  <c r="CO30" i="12"/>
  <c r="CO31" i="12"/>
  <c r="CO54" i="12"/>
  <c r="CO55" i="12"/>
  <c r="CO56" i="12"/>
  <c r="CO57" i="12"/>
  <c r="CO58" i="12"/>
  <c r="CO59" i="12"/>
  <c r="CO60" i="12"/>
  <c r="CO61" i="12"/>
  <c r="CO62" i="12"/>
  <c r="CO63" i="12"/>
  <c r="CO64" i="12"/>
  <c r="CO65" i="12"/>
  <c r="CO66" i="12"/>
  <c r="CO67" i="12"/>
  <c r="CO68" i="12"/>
  <c r="CO69" i="12"/>
  <c r="CO53" i="12"/>
  <c r="AN27" i="12"/>
  <c r="AN28" i="12"/>
  <c r="AN29" i="12"/>
  <c r="AN30" i="12"/>
  <c r="AN31" i="12"/>
  <c r="AN32" i="12"/>
  <c r="AN33" i="12"/>
  <c r="AN34" i="12"/>
  <c r="AN26" i="12"/>
  <c r="AN56" i="12"/>
  <c r="AN57" i="12"/>
  <c r="AN58" i="12"/>
  <c r="AN59" i="12"/>
  <c r="AN60" i="12"/>
  <c r="AN61" i="12"/>
  <c r="AN62" i="12"/>
  <c r="AN63" i="12"/>
  <c r="AN64" i="12"/>
  <c r="AN65" i="12"/>
  <c r="AN66" i="12"/>
  <c r="AN67" i="12"/>
  <c r="AN68" i="12"/>
  <c r="AN69" i="12"/>
  <c r="AQ54" i="12"/>
  <c r="AQ55" i="12"/>
  <c r="AQ56" i="12"/>
  <c r="AQ57" i="12"/>
  <c r="AQ58" i="12"/>
  <c r="AQ59" i="12"/>
  <c r="AQ60" i="12"/>
  <c r="AQ61" i="12"/>
  <c r="AQ62" i="12"/>
  <c r="AQ63" i="12"/>
  <c r="AQ64" i="12"/>
  <c r="AQ65" i="12"/>
  <c r="AQ66" i="12"/>
  <c r="AQ67" i="12"/>
  <c r="AQ68" i="12"/>
  <c r="AQ69" i="12"/>
  <c r="AQ53" i="12"/>
  <c r="AR56" i="12"/>
  <c r="AR57" i="12"/>
  <c r="AR58" i="12"/>
  <c r="AR59" i="12"/>
  <c r="AR60" i="12"/>
  <c r="AR61" i="12"/>
  <c r="AR62" i="12"/>
  <c r="AR63" i="12"/>
  <c r="AR64" i="12"/>
  <c r="AR65" i="12"/>
  <c r="AR66" i="12"/>
  <c r="AR67" i="12"/>
  <c r="AR68" i="12"/>
  <c r="AR69" i="12"/>
  <c r="AR27" i="12"/>
  <c r="AR28" i="12"/>
  <c r="AR29" i="12"/>
  <c r="AR30" i="12"/>
  <c r="AR31" i="12"/>
  <c r="AR32" i="12"/>
  <c r="AR33" i="12"/>
  <c r="AR34" i="12"/>
  <c r="AR26" i="12"/>
  <c r="K21" i="12"/>
  <c r="K52" i="12"/>
  <c r="K51" i="12" s="1"/>
  <c r="P25" i="12"/>
  <c r="R25" i="12" s="1"/>
  <c r="O50" i="151"/>
  <c r="O49" i="151" s="1"/>
  <c r="O45" i="151" s="1"/>
  <c r="O28" i="151" s="1"/>
  <c r="O22" i="151" s="1"/>
  <c r="O20" i="151" s="1"/>
  <c r="CO52" i="12" l="1"/>
  <c r="Q22" i="165"/>
  <c r="Q19" i="165" s="1"/>
  <c r="DI23" i="120"/>
  <c r="DI22" i="120" s="1"/>
  <c r="DI21" i="120" s="1"/>
  <c r="DI20" i="120" s="1"/>
  <c r="DI19" i="120" s="1"/>
  <c r="AD23" i="115"/>
  <c r="AB27" i="125"/>
  <c r="K20" i="12"/>
  <c r="K19" i="12" s="1"/>
  <c r="K18" i="12" s="1"/>
  <c r="CO51" i="12"/>
  <c r="AQ52" i="12"/>
  <c r="AQ51" i="12" s="1"/>
  <c r="AQ20" i="12" s="1"/>
  <c r="AQ19" i="12" s="1"/>
  <c r="AQ18" i="12" s="1"/>
  <c r="AK23" i="122"/>
  <c r="E25" i="125"/>
  <c r="AB25" i="125" s="1"/>
  <c r="AI25" i="12"/>
  <c r="O58" i="115" l="1"/>
  <c r="O60" i="115"/>
  <c r="O68" i="115"/>
  <c r="O69" i="115"/>
  <c r="I66" i="165" l="1"/>
  <c r="X67" i="122"/>
  <c r="Y67" i="122"/>
  <c r="S67" i="122"/>
  <c r="T67" i="122"/>
  <c r="N67" i="122"/>
  <c r="O67" i="122"/>
  <c r="J67" i="122"/>
  <c r="CP70" i="120"/>
  <c r="AH67" i="122" s="1"/>
  <c r="D70" i="120"/>
  <c r="CX70" i="120" s="1"/>
  <c r="N69" i="115"/>
  <c r="M69" i="115"/>
  <c r="L69" i="115"/>
  <c r="M55" i="165" l="1"/>
  <c r="T66" i="165"/>
  <c r="U66" i="165" s="1"/>
  <c r="CY71" i="125"/>
  <c r="AI67" i="122"/>
  <c r="S66" i="165"/>
  <c r="M66" i="165" l="1"/>
  <c r="H52" i="12"/>
  <c r="P69" i="12"/>
  <c r="I69" i="12"/>
  <c r="L69" i="12" s="1"/>
  <c r="L67" i="189"/>
  <c r="L65" i="189" s="1"/>
  <c r="L45" i="189" s="1"/>
  <c r="L28" i="189" s="1"/>
  <c r="L22" i="189" s="1"/>
  <c r="L20" i="189" s="1"/>
  <c r="R69" i="12" l="1"/>
  <c r="AM69" i="115"/>
  <c r="CF71" i="125"/>
  <c r="T69" i="12" l="1"/>
  <c r="L79" i="192"/>
  <c r="BF52" i="12"/>
  <c r="L77" i="192" l="1"/>
  <c r="L45" i="192" s="1"/>
  <c r="L28" i="192" s="1"/>
  <c r="L22" i="192" s="1"/>
  <c r="L78" i="192"/>
  <c r="D66" i="165"/>
  <c r="L20" i="192" l="1"/>
  <c r="CF69" i="12"/>
  <c r="CB69" i="12" s="1"/>
  <c r="I51" i="165"/>
  <c r="I52" i="165"/>
  <c r="I53" i="165"/>
  <c r="I54" i="165"/>
  <c r="I55" i="165"/>
  <c r="I56" i="165"/>
  <c r="I57" i="165"/>
  <c r="I58" i="165"/>
  <c r="I59" i="165"/>
  <c r="I60" i="165"/>
  <c r="I61" i="165"/>
  <c r="I62" i="165"/>
  <c r="I63" i="165"/>
  <c r="I64" i="165"/>
  <c r="I65" i="165"/>
  <c r="I50" i="165"/>
  <c r="I24" i="165"/>
  <c r="I25" i="165"/>
  <c r="I27" i="165"/>
  <c r="I28" i="165"/>
  <c r="I30" i="165"/>
  <c r="I31" i="165"/>
  <c r="I22" i="165"/>
  <c r="AD18" i="122"/>
  <c r="AD17" i="122" s="1"/>
  <c r="AD16" i="122" s="1"/>
  <c r="AC17" i="122"/>
  <c r="AC16" i="122" s="1"/>
  <c r="AH52" i="122"/>
  <c r="AH53" i="122"/>
  <c r="AH54" i="122"/>
  <c r="AH55" i="122"/>
  <c r="AH56" i="122"/>
  <c r="AH57" i="122"/>
  <c r="AH58" i="122"/>
  <c r="AH59" i="122"/>
  <c r="AH60" i="122"/>
  <c r="AH61" i="122"/>
  <c r="AH62" i="122"/>
  <c r="AH63" i="122"/>
  <c r="AH64" i="122"/>
  <c r="AH65" i="122"/>
  <c r="AH51" i="122"/>
  <c r="Y52" i="122"/>
  <c r="Y53" i="122"/>
  <c r="Y54" i="122"/>
  <c r="Y55" i="122"/>
  <c r="Y56" i="122"/>
  <c r="Y57" i="122"/>
  <c r="Y58" i="122"/>
  <c r="Y66" i="122"/>
  <c r="Y51" i="122"/>
  <c r="X52" i="122"/>
  <c r="X53" i="122"/>
  <c r="X54" i="122"/>
  <c r="X55" i="122"/>
  <c r="X56" i="122"/>
  <c r="X57" i="122"/>
  <c r="X59" i="122"/>
  <c r="X60" i="122"/>
  <c r="X61" i="122"/>
  <c r="X62" i="122"/>
  <c r="X63" i="122"/>
  <c r="X64" i="122"/>
  <c r="X65" i="122"/>
  <c r="X66" i="122"/>
  <c r="X51" i="122"/>
  <c r="T52" i="122"/>
  <c r="T53" i="122"/>
  <c r="T54" i="122"/>
  <c r="T55" i="122"/>
  <c r="T58" i="122"/>
  <c r="T59" i="122"/>
  <c r="T60" i="122"/>
  <c r="T61" i="122"/>
  <c r="T62" i="122"/>
  <c r="T63" i="122"/>
  <c r="T64" i="122"/>
  <c r="T65" i="122"/>
  <c r="T66" i="122"/>
  <c r="T51" i="122"/>
  <c r="S56" i="122"/>
  <c r="S57" i="122"/>
  <c r="S58" i="122"/>
  <c r="S59" i="122"/>
  <c r="S60" i="122"/>
  <c r="S61" i="122"/>
  <c r="S62" i="122"/>
  <c r="S63" i="122"/>
  <c r="S64" i="122"/>
  <c r="S65" i="122"/>
  <c r="S66" i="122"/>
  <c r="S52" i="122"/>
  <c r="S53" i="122"/>
  <c r="S54" i="122"/>
  <c r="S51" i="122"/>
  <c r="O52" i="122"/>
  <c r="O53" i="122"/>
  <c r="O55" i="122"/>
  <c r="O56" i="122"/>
  <c r="O57" i="122"/>
  <c r="O58" i="122"/>
  <c r="O59" i="122"/>
  <c r="O60" i="122"/>
  <c r="O61" i="122"/>
  <c r="O62" i="122"/>
  <c r="O63" i="122"/>
  <c r="O64" i="122"/>
  <c r="O65" i="122"/>
  <c r="O66" i="122"/>
  <c r="O51" i="122"/>
  <c r="N52" i="122"/>
  <c r="N54" i="122"/>
  <c r="N55" i="122"/>
  <c r="N56" i="122"/>
  <c r="N57" i="122"/>
  <c r="N58" i="122"/>
  <c r="N59" i="122"/>
  <c r="N60" i="122"/>
  <c r="N61" i="122"/>
  <c r="N62" i="122"/>
  <c r="N63" i="122"/>
  <c r="N64" i="122"/>
  <c r="N65" i="122"/>
  <c r="N66" i="122"/>
  <c r="N51" i="122"/>
  <c r="J53" i="122"/>
  <c r="J54" i="122"/>
  <c r="J55" i="122"/>
  <c r="J56" i="122"/>
  <c r="J57" i="122"/>
  <c r="J58" i="122"/>
  <c r="J59" i="122"/>
  <c r="J60" i="122"/>
  <c r="J61" i="122"/>
  <c r="J62" i="122"/>
  <c r="J63" i="122"/>
  <c r="J64" i="122"/>
  <c r="J65" i="122"/>
  <c r="J66" i="122"/>
  <c r="CB21" i="120"/>
  <c r="CB20" i="120" s="1"/>
  <c r="CB19" i="120" s="1"/>
  <c r="BH59" i="120"/>
  <c r="BH60" i="120"/>
  <c r="AM52" i="122"/>
  <c r="AM54" i="122"/>
  <c r="AM56" i="122"/>
  <c r="AM57" i="122"/>
  <c r="AM63" i="122"/>
  <c r="AM64" i="122"/>
  <c r="AM65" i="122"/>
  <c r="AM51" i="122"/>
  <c r="D56" i="120"/>
  <c r="AI53" i="122" s="1"/>
  <c r="D58" i="120"/>
  <c r="AI55" i="122" s="1"/>
  <c r="D61" i="120"/>
  <c r="CX61" i="120" s="1"/>
  <c r="D69" i="120"/>
  <c r="CX69" i="120" s="1"/>
  <c r="CN25" i="120"/>
  <c r="AF22" i="122" s="1"/>
  <c r="CN26" i="120"/>
  <c r="AF23" i="122" s="1"/>
  <c r="CN27" i="120"/>
  <c r="AF24" i="122" s="1"/>
  <c r="CN28" i="120"/>
  <c r="AF25" i="122" s="1"/>
  <c r="CN29" i="120"/>
  <c r="AF26" i="122" s="1"/>
  <c r="CN30" i="120"/>
  <c r="AF27" i="122" s="1"/>
  <c r="CN31" i="120"/>
  <c r="AF28" i="122" s="1"/>
  <c r="CN32" i="120"/>
  <c r="AF29" i="122" s="1"/>
  <c r="CN24" i="120"/>
  <c r="AF21" i="122" s="1"/>
  <c r="BZ25" i="120"/>
  <c r="AA22" i="122" s="1"/>
  <c r="BZ26" i="120"/>
  <c r="AA23" i="122" s="1"/>
  <c r="BZ27" i="120"/>
  <c r="AA24" i="122" s="1"/>
  <c r="BZ28" i="120"/>
  <c r="AA25" i="122" s="1"/>
  <c r="BZ29" i="120"/>
  <c r="AA26" i="122" s="1"/>
  <c r="BZ30" i="120"/>
  <c r="AA27" i="122" s="1"/>
  <c r="BZ31" i="120"/>
  <c r="AA28" i="122" s="1"/>
  <c r="BZ33" i="120"/>
  <c r="AA30" i="122" s="1"/>
  <c r="BZ34" i="120"/>
  <c r="AA31" i="122" s="1"/>
  <c r="BZ35" i="120"/>
  <c r="AA32" i="122" s="1"/>
  <c r="BZ24" i="120"/>
  <c r="AA21" i="122" s="1"/>
  <c r="BL25" i="120"/>
  <c r="V22" i="122" s="1"/>
  <c r="BL26" i="120"/>
  <c r="V23" i="122" s="1"/>
  <c r="BL27" i="120"/>
  <c r="V24" i="122" s="1"/>
  <c r="BL28" i="120"/>
  <c r="V25" i="122" s="1"/>
  <c r="BL29" i="120"/>
  <c r="V26" i="122" s="1"/>
  <c r="BL32" i="120"/>
  <c r="V29" i="122" s="1"/>
  <c r="BL33" i="120"/>
  <c r="V30" i="122" s="1"/>
  <c r="BL34" i="120"/>
  <c r="V31" i="122" s="1"/>
  <c r="BL35" i="120"/>
  <c r="V32" i="122" s="1"/>
  <c r="BL24" i="120"/>
  <c r="V21" i="122" s="1"/>
  <c r="AX25" i="120"/>
  <c r="Q22" i="122" s="1"/>
  <c r="AX26" i="120"/>
  <c r="Q23" i="122" s="1"/>
  <c r="AX30" i="120"/>
  <c r="AX31" i="120"/>
  <c r="AX32" i="120"/>
  <c r="AX33" i="120"/>
  <c r="AX34" i="120"/>
  <c r="AX24" i="120"/>
  <c r="Q21" i="122" s="1"/>
  <c r="AJ27" i="120"/>
  <c r="L24" i="122" s="1"/>
  <c r="AJ28" i="120"/>
  <c r="L25" i="122" s="1"/>
  <c r="AJ29" i="120"/>
  <c r="L26" i="122" s="1"/>
  <c r="AJ30" i="120"/>
  <c r="L27" i="122" s="1"/>
  <c r="AJ31" i="120"/>
  <c r="L28" i="122" s="1"/>
  <c r="AJ32" i="120"/>
  <c r="L29" i="122" s="1"/>
  <c r="AJ33" i="120"/>
  <c r="L30" i="122" s="1"/>
  <c r="AJ34" i="120"/>
  <c r="L31" i="122" s="1"/>
  <c r="AJ35" i="120"/>
  <c r="L32" i="122" s="1"/>
  <c r="BQ70" i="119"/>
  <c r="BA64" i="119"/>
  <c r="BA65" i="119"/>
  <c r="BA66" i="119"/>
  <c r="BA67" i="119"/>
  <c r="BA68" i="119"/>
  <c r="BA69" i="119"/>
  <c r="BA63" i="119"/>
  <c r="AS62" i="119"/>
  <c r="AS54" i="119" s="1"/>
  <c r="AS53" i="119" s="1"/>
  <c r="AS22" i="119" s="1"/>
  <c r="AS21" i="119" s="1"/>
  <c r="AS20" i="119" s="1"/>
  <c r="AO61" i="119"/>
  <c r="AO60" i="119"/>
  <c r="AO54" i="119" s="1"/>
  <c r="AO53" i="119" s="1"/>
  <c r="AO22" i="119" s="1"/>
  <c r="AO21" i="119" s="1"/>
  <c r="AO20" i="119" s="1"/>
  <c r="AG54" i="119"/>
  <c r="AG53" i="119" s="1"/>
  <c r="AG22" i="119" s="1"/>
  <c r="AG21" i="119" s="1"/>
  <c r="AG20" i="119" s="1"/>
  <c r="AC58" i="119"/>
  <c r="AC54" i="119" s="1"/>
  <c r="AC53" i="119" s="1"/>
  <c r="AC22" i="119" s="1"/>
  <c r="AC21" i="119" s="1"/>
  <c r="AC20" i="119" s="1"/>
  <c r="U57" i="119"/>
  <c r="U54" i="119" s="1"/>
  <c r="U53" i="119" s="1"/>
  <c r="U22" i="119" s="1"/>
  <c r="U21" i="119" s="1"/>
  <c r="U20" i="119" s="1"/>
  <c r="Q56" i="119"/>
  <c r="Q55" i="119"/>
  <c r="BO35" i="119"/>
  <c r="BO36" i="119"/>
  <c r="BO34" i="119"/>
  <c r="BC33" i="119"/>
  <c r="AQ32" i="119"/>
  <c r="AQ31" i="119"/>
  <c r="AE29" i="119"/>
  <c r="AE30" i="119"/>
  <c r="AE28" i="119"/>
  <c r="X35" i="126"/>
  <c r="AL35" i="126" s="1"/>
  <c r="AL32" i="126" s="1"/>
  <c r="AL31" i="126" s="1"/>
  <c r="AL22" i="126" s="1"/>
  <c r="AL21" i="126" s="1"/>
  <c r="AL20" i="126" s="1"/>
  <c r="T34" i="126"/>
  <c r="AH34" i="126" s="1"/>
  <c r="T33" i="126"/>
  <c r="AH33" i="126" s="1"/>
  <c r="V26" i="126"/>
  <c r="AJ26" i="126" s="1"/>
  <c r="AJ27" i="126"/>
  <c r="V25" i="126"/>
  <c r="CK70" i="125"/>
  <c r="CK54" i="125" s="1"/>
  <c r="CK53" i="125" s="1"/>
  <c r="BS65" i="125"/>
  <c r="BS66" i="125"/>
  <c r="BS67" i="125"/>
  <c r="BS68" i="125"/>
  <c r="BS69" i="125"/>
  <c r="BS63" i="125"/>
  <c r="AJ58" i="125"/>
  <c r="Z57" i="125"/>
  <c r="V56" i="125"/>
  <c r="V55" i="125"/>
  <c r="AL29" i="125"/>
  <c r="AL30" i="125"/>
  <c r="AL28" i="125"/>
  <c r="H26" i="120"/>
  <c r="H51" i="115"/>
  <c r="N68" i="115"/>
  <c r="M68" i="115"/>
  <c r="L68" i="115"/>
  <c r="O67" i="115"/>
  <c r="N67" i="115"/>
  <c r="M67" i="115"/>
  <c r="L67" i="115"/>
  <c r="O66" i="115"/>
  <c r="N66" i="115"/>
  <c r="M66" i="115"/>
  <c r="L66" i="115"/>
  <c r="O65" i="115"/>
  <c r="O64" i="115"/>
  <c r="N65" i="115"/>
  <c r="M65" i="115"/>
  <c r="L65" i="115"/>
  <c r="N64" i="115"/>
  <c r="M64" i="115"/>
  <c r="L64" i="115"/>
  <c r="O63" i="115"/>
  <c r="N63" i="115"/>
  <c r="M63" i="115"/>
  <c r="L63" i="115"/>
  <c r="O62" i="115"/>
  <c r="N62" i="115"/>
  <c r="M62" i="115"/>
  <c r="L62" i="115"/>
  <c r="N61" i="115"/>
  <c r="O61" i="115"/>
  <c r="M61" i="115"/>
  <c r="L61" i="115"/>
  <c r="N60" i="115"/>
  <c r="M60" i="115"/>
  <c r="L60" i="115"/>
  <c r="T61" i="165" l="1"/>
  <c r="U61" i="165" s="1"/>
  <c r="AM62" i="122"/>
  <c r="T60" i="165"/>
  <c r="U60" i="165" s="1"/>
  <c r="AM61" i="122"/>
  <c r="AM59" i="122"/>
  <c r="AM60" i="122"/>
  <c r="CK22" i="125"/>
  <c r="CK21" i="125" s="1"/>
  <c r="CK20" i="125" s="1"/>
  <c r="D59" i="120"/>
  <c r="S55" i="165" s="1"/>
  <c r="D60" i="120"/>
  <c r="CX60" i="120" s="1"/>
  <c r="AF54" i="120"/>
  <c r="J51" i="122" s="1"/>
  <c r="AC55" i="125"/>
  <c r="CU55" i="125"/>
  <c r="BG31" i="125"/>
  <c r="AL56" i="120"/>
  <c r="AL53" i="120" s="1"/>
  <c r="AL52" i="120" s="1"/>
  <c r="AL21" i="120" s="1"/>
  <c r="AL20" i="120" s="1"/>
  <c r="AL19" i="120" s="1"/>
  <c r="AG57" i="125"/>
  <c r="AG54" i="125" s="1"/>
  <c r="AG53" i="125" s="1"/>
  <c r="AG22" i="125" s="1"/>
  <c r="AQ53" i="125"/>
  <c r="AQ21" i="125" s="1"/>
  <c r="AQ20" i="125" s="1"/>
  <c r="CN33" i="120"/>
  <c r="AF30" i="122" s="1"/>
  <c r="AK30" i="122" s="1"/>
  <c r="CI34" i="125"/>
  <c r="BN61" i="120"/>
  <c r="BN53" i="120" s="1"/>
  <c r="BN52" i="120" s="1"/>
  <c r="BN21" i="120" s="1"/>
  <c r="BN20" i="120" s="1"/>
  <c r="BN19" i="120" s="1"/>
  <c r="BI53" i="125"/>
  <c r="BI22" i="125" s="1"/>
  <c r="CI35" i="125"/>
  <c r="AF55" i="120"/>
  <c r="J52" i="122" s="1"/>
  <c r="AC56" i="125"/>
  <c r="AJ24" i="120"/>
  <c r="L21" i="122" s="1"/>
  <c r="AE25" i="125"/>
  <c r="AU54" i="125"/>
  <c r="AU53" i="125" s="1"/>
  <c r="AU22" i="125" s="1"/>
  <c r="CU64" i="125"/>
  <c r="BS64" i="125"/>
  <c r="BS54" i="125" s="1"/>
  <c r="BS53" i="125" s="1"/>
  <c r="BS22" i="125" s="1"/>
  <c r="BS21" i="125" s="1"/>
  <c r="BS20" i="125" s="1"/>
  <c r="H25" i="120"/>
  <c r="DB25" i="120" s="1"/>
  <c r="AK22" i="122" s="1"/>
  <c r="AE26" i="125"/>
  <c r="H35" i="120"/>
  <c r="DB35" i="120" s="1"/>
  <c r="CI36" i="125"/>
  <c r="H32" i="120"/>
  <c r="DB32" i="120" s="1"/>
  <c r="BU33" i="125"/>
  <c r="BU24" i="125" s="1"/>
  <c r="BU23" i="125" s="1"/>
  <c r="BU22" i="125" s="1"/>
  <c r="BU21" i="125" s="1"/>
  <c r="BU20" i="125" s="1"/>
  <c r="BV68" i="120"/>
  <c r="Y65" i="122" s="1"/>
  <c r="CU69" i="125"/>
  <c r="BV67" i="120"/>
  <c r="Y64" i="122" s="1"/>
  <c r="CU68" i="125"/>
  <c r="BV66" i="120"/>
  <c r="Y63" i="122" s="1"/>
  <c r="CU67" i="125"/>
  <c r="BV65" i="120"/>
  <c r="Y62" i="122" s="1"/>
  <c r="CU66" i="125"/>
  <c r="BV62" i="120"/>
  <c r="Y59" i="122" s="1"/>
  <c r="CU63" i="125"/>
  <c r="BV64" i="120"/>
  <c r="Y61" i="122" s="1"/>
  <c r="CU65" i="125"/>
  <c r="I49" i="165"/>
  <c r="I48" i="165" s="1"/>
  <c r="T32" i="126"/>
  <c r="T31" i="126" s="1"/>
  <c r="T22" i="126" s="1"/>
  <c r="T21" i="126" s="1"/>
  <c r="T20" i="126" s="1"/>
  <c r="CP69" i="120"/>
  <c r="CP53" i="120" s="1"/>
  <c r="CP52" i="120" s="1"/>
  <c r="CP21" i="120" s="1"/>
  <c r="CP20" i="120" s="1"/>
  <c r="CP19" i="120" s="1"/>
  <c r="T49" i="122"/>
  <c r="T18" i="122" s="1"/>
  <c r="T17" i="122" s="1"/>
  <c r="T16" i="122" s="1"/>
  <c r="BH53" i="120"/>
  <c r="BH52" i="120" s="1"/>
  <c r="BH21" i="120" s="1"/>
  <c r="BH20" i="120" s="1"/>
  <c r="BH19" i="120" s="1"/>
  <c r="BQ54" i="119"/>
  <c r="BQ53" i="119" s="1"/>
  <c r="BQ22" i="119" s="1"/>
  <c r="BQ21" i="119" s="1"/>
  <c r="BQ20" i="119" s="1"/>
  <c r="BO24" i="119"/>
  <c r="BO23" i="119" s="1"/>
  <c r="BO22" i="119" s="1"/>
  <c r="BO21" i="119" s="1"/>
  <c r="BO20" i="119" s="1"/>
  <c r="CX58" i="120"/>
  <c r="Z54" i="125"/>
  <c r="Z53" i="125" s="1"/>
  <c r="Z22" i="125" s="1"/>
  <c r="Z21" i="125" s="1"/>
  <c r="Z20" i="125" s="1"/>
  <c r="BA54" i="119"/>
  <c r="BA53" i="119" s="1"/>
  <c r="BA22" i="119" s="1"/>
  <c r="BA21" i="119" s="1"/>
  <c r="BA20" i="119" s="1"/>
  <c r="AJ54" i="125"/>
  <c r="AJ53" i="125" s="1"/>
  <c r="AJ22" i="125" s="1"/>
  <c r="AJ21" i="125" s="1"/>
  <c r="AJ20" i="125" s="1"/>
  <c r="AI66" i="122"/>
  <c r="Q54" i="119"/>
  <c r="Q53" i="119" s="1"/>
  <c r="Q22" i="119" s="1"/>
  <c r="Q21" i="119" s="1"/>
  <c r="Q20" i="119" s="1"/>
  <c r="T59" i="165"/>
  <c r="U59" i="165" s="1"/>
  <c r="BV63" i="120"/>
  <c r="Y60" i="122" s="1"/>
  <c r="AI58" i="122"/>
  <c r="T58" i="165"/>
  <c r="U58" i="165" s="1"/>
  <c r="S54" i="165"/>
  <c r="AT57" i="120"/>
  <c r="AT53" i="120" s="1"/>
  <c r="S52" i="165"/>
  <c r="CX56" i="120"/>
  <c r="CN35" i="120"/>
  <c r="AF32" i="122" s="1"/>
  <c r="AK32" i="122" s="1"/>
  <c r="T56" i="165"/>
  <c r="U56" i="165" s="1"/>
  <c r="CN34" i="120"/>
  <c r="AF31" i="122" s="1"/>
  <c r="AK31" i="122" s="1"/>
  <c r="T55" i="165"/>
  <c r="U55" i="165" s="1"/>
  <c r="T50" i="165"/>
  <c r="S65" i="165"/>
  <c r="T53" i="165"/>
  <c r="U53" i="165" s="1"/>
  <c r="BZ32" i="120"/>
  <c r="AA29" i="122" s="1"/>
  <c r="AK29" i="122" s="1"/>
  <c r="S57" i="165"/>
  <c r="T64" i="165"/>
  <c r="U64" i="165" s="1"/>
  <c r="T51" i="165"/>
  <c r="U51" i="165" s="1"/>
  <c r="T63" i="165"/>
  <c r="U63" i="165" s="1"/>
  <c r="T62" i="165"/>
  <c r="U62" i="165" s="1"/>
  <c r="BL31" i="120"/>
  <c r="BL30" i="120"/>
  <c r="V27" i="122" s="1"/>
  <c r="V20" i="122" s="1"/>
  <c r="AH32" i="126"/>
  <c r="AH31" i="126" s="1"/>
  <c r="AH22" i="126" s="1"/>
  <c r="AH21" i="126" s="1"/>
  <c r="AH20" i="126" s="1"/>
  <c r="CY57" i="125"/>
  <c r="AJ26" i="120"/>
  <c r="V54" i="125"/>
  <c r="V53" i="125" s="1"/>
  <c r="V22" i="125" s="1"/>
  <c r="V21" i="125" s="1"/>
  <c r="V20" i="125" s="1"/>
  <c r="X32" i="126"/>
  <c r="X31" i="126" s="1"/>
  <c r="AJ25" i="120"/>
  <c r="L22" i="122" s="1"/>
  <c r="DB26" i="120"/>
  <c r="AQ24" i="119"/>
  <c r="AQ23" i="119" s="1"/>
  <c r="AQ22" i="119" s="1"/>
  <c r="AQ21" i="119" s="1"/>
  <c r="AQ20" i="119" s="1"/>
  <c r="AE24" i="119"/>
  <c r="AE23" i="119" s="1"/>
  <c r="AE22" i="119" s="1"/>
  <c r="AE21" i="119" s="1"/>
  <c r="AE20" i="119" s="1"/>
  <c r="BC24" i="119"/>
  <c r="BC23" i="119" s="1"/>
  <c r="BC22" i="119" s="1"/>
  <c r="BC21" i="119" s="1"/>
  <c r="BC20" i="119" s="1"/>
  <c r="V24" i="126"/>
  <c r="AJ25" i="126"/>
  <c r="AJ24" i="126" s="1"/>
  <c r="CW34" i="125"/>
  <c r="AL24" i="125"/>
  <c r="AC54" i="125" l="1"/>
  <c r="AE24" i="125"/>
  <c r="AE23" i="125" s="1"/>
  <c r="AE22" i="125" s="1"/>
  <c r="AE21" i="125" s="1"/>
  <c r="AE20" i="125" s="1"/>
  <c r="BS30" i="120"/>
  <c r="BG24" i="125"/>
  <c r="AK27" i="122"/>
  <c r="V19" i="122"/>
  <c r="AS24" i="125"/>
  <c r="AS23" i="125" s="1"/>
  <c r="AS22" i="125" s="1"/>
  <c r="AS21" i="125" s="1"/>
  <c r="AS20" i="125" s="1"/>
  <c r="BG23" i="125"/>
  <c r="BG22" i="125" s="1"/>
  <c r="BG21" i="125" s="1"/>
  <c r="BG20" i="125" s="1"/>
  <c r="Q20" i="122"/>
  <c r="Q19" i="122" s="1"/>
  <c r="Q18" i="122" s="1"/>
  <c r="Q17" i="122" s="1"/>
  <c r="Q16" i="122" s="1"/>
  <c r="CX59" i="120"/>
  <c r="AG21" i="125"/>
  <c r="AG20" i="125" s="1"/>
  <c r="M60" i="165"/>
  <c r="M57" i="165"/>
  <c r="M65" i="165"/>
  <c r="M64" i="165"/>
  <c r="M59" i="165"/>
  <c r="AU21" i="125"/>
  <c r="AU20" i="125" s="1"/>
  <c r="BI21" i="125"/>
  <c r="BI20" i="125" s="1"/>
  <c r="M63" i="165"/>
  <c r="X22" i="126"/>
  <c r="X21" i="126" s="1"/>
  <c r="X20" i="126" s="1"/>
  <c r="S56" i="165"/>
  <c r="M58" i="165"/>
  <c r="M62" i="165"/>
  <c r="M61" i="165"/>
  <c r="CI24" i="125"/>
  <c r="CI23" i="125" s="1"/>
  <c r="CI22" i="125" s="1"/>
  <c r="CI21" i="125" s="1"/>
  <c r="CI20" i="125" s="1"/>
  <c r="AH66" i="122"/>
  <c r="AH50" i="122" s="1"/>
  <c r="AH49" i="122" s="1"/>
  <c r="X49" i="122"/>
  <c r="CW35" i="125"/>
  <c r="H27" i="120"/>
  <c r="DB27" i="120" s="1"/>
  <c r="AX27" i="120" s="1"/>
  <c r="CW28" i="125"/>
  <c r="H30" i="120"/>
  <c r="DB30" i="120" s="1"/>
  <c r="CW31" i="125"/>
  <c r="D57" i="120"/>
  <c r="CY59" i="125"/>
  <c r="CY54" i="125" s="1"/>
  <c r="N53" i="122"/>
  <c r="N50" i="122" s="1"/>
  <c r="N49" i="122" s="1"/>
  <c r="H34" i="120"/>
  <c r="DB34" i="120" s="1"/>
  <c r="D55" i="120"/>
  <c r="CX55" i="120" s="1"/>
  <c r="CU56" i="125"/>
  <c r="CU54" i="125" s="1"/>
  <c r="CY70" i="125"/>
  <c r="P21" i="165"/>
  <c r="CW26" i="125"/>
  <c r="H28" i="120"/>
  <c r="DB28" i="120" s="1"/>
  <c r="AX28" i="120" s="1"/>
  <c r="AX23" i="120" s="1"/>
  <c r="AX22" i="120" s="1"/>
  <c r="AX21" i="120" s="1"/>
  <c r="AX20" i="120" s="1"/>
  <c r="AX19" i="120" s="1"/>
  <c r="CW29" i="125"/>
  <c r="AC53" i="125"/>
  <c r="AC22" i="125" s="1"/>
  <c r="AC21" i="125" s="1"/>
  <c r="AC20" i="125" s="1"/>
  <c r="CW25" i="125"/>
  <c r="H24" i="120"/>
  <c r="AF53" i="120"/>
  <c r="AF52" i="120" s="1"/>
  <c r="AF21" i="120" s="1"/>
  <c r="AF20" i="120" s="1"/>
  <c r="AF19" i="120" s="1"/>
  <c r="CW36" i="125"/>
  <c r="CW33" i="125"/>
  <c r="H31" i="120"/>
  <c r="DB31" i="120" s="1"/>
  <c r="CW32" i="125"/>
  <c r="H29" i="120"/>
  <c r="DB29" i="120" s="1"/>
  <c r="AX29" i="120" s="1"/>
  <c r="Y50" i="122"/>
  <c r="Y49" i="122" s="1"/>
  <c r="Y18" i="122" s="1"/>
  <c r="Y17" i="122" s="1"/>
  <c r="Y16" i="122" s="1"/>
  <c r="U50" i="165"/>
  <c r="J50" i="122"/>
  <c r="J49" i="122" s="1"/>
  <c r="J18" i="122" s="1"/>
  <c r="J17" i="122" s="1"/>
  <c r="J16" i="122" s="1"/>
  <c r="BV53" i="120"/>
  <c r="BV52" i="120" s="1"/>
  <c r="BV21" i="120" s="1"/>
  <c r="BV20" i="120" s="1"/>
  <c r="BV19" i="120" s="1"/>
  <c r="AF20" i="122"/>
  <c r="AF19" i="122" s="1"/>
  <c r="AF18" i="122" s="1"/>
  <c r="AF17" i="122" s="1"/>
  <c r="AF16" i="122" s="1"/>
  <c r="AA20" i="122"/>
  <c r="AA19" i="122" s="1"/>
  <c r="AA18" i="122" s="1"/>
  <c r="AA17" i="122" s="1"/>
  <c r="AA16" i="122" s="1"/>
  <c r="BZ23" i="120"/>
  <c r="BZ22" i="120" s="1"/>
  <c r="BZ21" i="120" s="1"/>
  <c r="BZ20" i="120" s="1"/>
  <c r="BZ19" i="120" s="1"/>
  <c r="V18" i="122"/>
  <c r="V17" i="122" s="1"/>
  <c r="V16" i="122" s="1"/>
  <c r="L20" i="122"/>
  <c r="BL23" i="120"/>
  <c r="BL22" i="120" s="1"/>
  <c r="BL21" i="120" s="1"/>
  <c r="BL20" i="120" s="1"/>
  <c r="BL19" i="120" s="1"/>
  <c r="CN23" i="120"/>
  <c r="CN22" i="120" s="1"/>
  <c r="CN21" i="120" s="1"/>
  <c r="CN20" i="120" s="1"/>
  <c r="CN19" i="120" s="1"/>
  <c r="O50" i="122"/>
  <c r="AT52" i="120"/>
  <c r="AT21" i="120" s="1"/>
  <c r="AT20" i="120" s="1"/>
  <c r="AT19" i="120" s="1"/>
  <c r="H33" i="120"/>
  <c r="DB33" i="120" s="1"/>
  <c r="D54" i="120"/>
  <c r="AM53" i="122"/>
  <c r="P20" i="165"/>
  <c r="AJ23" i="120"/>
  <c r="AJ22" i="120" s="1"/>
  <c r="AJ21" i="120" s="1"/>
  <c r="AJ20" i="120" s="1"/>
  <c r="AJ19" i="120" s="1"/>
  <c r="P19" i="165" l="1"/>
  <c r="CW24" i="125"/>
  <c r="CW23" i="125" s="1"/>
  <c r="CW22" i="125" s="1"/>
  <c r="CW21" i="125" s="1"/>
  <c r="CW20" i="125" s="1"/>
  <c r="X18" i="122"/>
  <c r="X17" i="122" s="1"/>
  <c r="X16" i="122" s="1"/>
  <c r="AH18" i="122"/>
  <c r="AI52" i="122"/>
  <c r="N18" i="122"/>
  <c r="N17" i="122" s="1"/>
  <c r="N16" i="122" s="1"/>
  <c r="S51" i="165"/>
  <c r="T65" i="165"/>
  <c r="U65" i="165" s="1"/>
  <c r="CY53" i="125"/>
  <c r="CY22" i="125" s="1"/>
  <c r="CU53" i="125"/>
  <c r="CU22" i="125" s="1"/>
  <c r="CU21" i="125" s="1"/>
  <c r="CU20" i="125" s="1"/>
  <c r="CX57" i="120"/>
  <c r="S53" i="165"/>
  <c r="T54" i="165"/>
  <c r="U54" i="165" s="1"/>
  <c r="AM65" i="115"/>
  <c r="AM64" i="115"/>
  <c r="AM62" i="115"/>
  <c r="AM66" i="115"/>
  <c r="AM63" i="115"/>
  <c r="AM60" i="115"/>
  <c r="AM59" i="115"/>
  <c r="AM67" i="115"/>
  <c r="S50" i="122"/>
  <c r="S49" i="122" s="1"/>
  <c r="O49" i="122"/>
  <c r="O18" i="122" s="1"/>
  <c r="O17" i="122" s="1"/>
  <c r="O16" i="122" s="1"/>
  <c r="CF70" i="125"/>
  <c r="CF54" i="125" s="1"/>
  <c r="CF53" i="125" s="1"/>
  <c r="AM68" i="115"/>
  <c r="AM61" i="115"/>
  <c r="BR63" i="125"/>
  <c r="DB24" i="120"/>
  <c r="H23" i="120"/>
  <c r="T52" i="165"/>
  <c r="AI51" i="122"/>
  <c r="CX54" i="120"/>
  <c r="Q18" i="165"/>
  <c r="O52" i="115"/>
  <c r="N52" i="115"/>
  <c r="N51" i="115" s="1"/>
  <c r="M52" i="115"/>
  <c r="M51" i="115" s="1"/>
  <c r="AH17" i="122" l="1"/>
  <c r="AH16" i="122" s="1"/>
  <c r="AM16" i="122" s="1"/>
  <c r="AM18" i="122"/>
  <c r="AM49" i="122"/>
  <c r="AM17" i="122" s="1"/>
  <c r="CY21" i="125"/>
  <c r="CY20" i="125" s="1"/>
  <c r="T48" i="165"/>
  <c r="T17" i="165" s="1"/>
  <c r="T16" i="165" s="1"/>
  <c r="T15" i="165" s="1"/>
  <c r="D65" i="120"/>
  <c r="CX65" i="120" s="1"/>
  <c r="BR66" i="125"/>
  <c r="AL52" i="115"/>
  <c r="AL51" i="115" s="1"/>
  <c r="D66" i="120"/>
  <c r="CX66" i="120" s="1"/>
  <c r="BR67" i="125"/>
  <c r="D68" i="120"/>
  <c r="S64" i="165" s="1"/>
  <c r="BR69" i="125"/>
  <c r="D67" i="120"/>
  <c r="CX67" i="120" s="1"/>
  <c r="BR68" i="125"/>
  <c r="D64" i="120"/>
  <c r="CX64" i="120" s="1"/>
  <c r="BR65" i="125"/>
  <c r="D63" i="120"/>
  <c r="CX63" i="120" s="1"/>
  <c r="BR64" i="125"/>
  <c r="AJ51" i="115"/>
  <c r="O51" i="115"/>
  <c r="L52" i="115"/>
  <c r="L51" i="115" s="1"/>
  <c r="AE57" i="115"/>
  <c r="AM58" i="115"/>
  <c r="S35" i="126"/>
  <c r="AG35" i="126" s="1"/>
  <c r="U57" i="125"/>
  <c r="AB57" i="125" s="1"/>
  <c r="AC55" i="115"/>
  <c r="AE56" i="115"/>
  <c r="AE52" i="115" s="1"/>
  <c r="U52" i="165"/>
  <c r="S50" i="165"/>
  <c r="AK21" i="122"/>
  <c r="AK20" i="122" s="1"/>
  <c r="DB23" i="120"/>
  <c r="DB22" i="120" s="1"/>
  <c r="DB21" i="120" s="1"/>
  <c r="DB20" i="120" s="1"/>
  <c r="DB19" i="120" s="1"/>
  <c r="AK19" i="122" l="1"/>
  <c r="AK18" i="122" s="1"/>
  <c r="S17" i="122"/>
  <c r="BR54" i="125"/>
  <c r="BR53" i="125" s="1"/>
  <c r="AI62" i="122"/>
  <c r="AI65" i="122"/>
  <c r="AI60" i="122"/>
  <c r="AI61" i="122"/>
  <c r="AI63" i="122"/>
  <c r="S60" i="165"/>
  <c r="S62" i="165"/>
  <c r="S59" i="165"/>
  <c r="AI64" i="122"/>
  <c r="S61" i="165"/>
  <c r="CX68" i="120"/>
  <c r="S63" i="165"/>
  <c r="AM55" i="115"/>
  <c r="AD55" i="115"/>
  <c r="AM57" i="115"/>
  <c r="U48" i="165"/>
  <c r="U17" i="165" s="1"/>
  <c r="AA57" i="125"/>
  <c r="D62" i="120"/>
  <c r="D53" i="120" s="1"/>
  <c r="AE51" i="115"/>
  <c r="AM56" i="115"/>
  <c r="S34" i="126"/>
  <c r="AG34" i="126" s="1"/>
  <c r="U56" i="125"/>
  <c r="AB56" i="125" s="1"/>
  <c r="AC54" i="115"/>
  <c r="U36" i="125"/>
  <c r="S33" i="126"/>
  <c r="AC53" i="115"/>
  <c r="AD53" i="115" l="1"/>
  <c r="AC52" i="115"/>
  <c r="U55" i="125"/>
  <c r="U16" i="165"/>
  <c r="U15" i="165" s="1"/>
  <c r="AM34" i="115"/>
  <c r="E36" i="125"/>
  <c r="AM54" i="115"/>
  <c r="AD54" i="115"/>
  <c r="AF51" i="115"/>
  <c r="S32" i="126"/>
  <c r="S31" i="126" s="1"/>
  <c r="AG33" i="126"/>
  <c r="AG32" i="126" s="1"/>
  <c r="AG31" i="126" s="1"/>
  <c r="U35" i="125"/>
  <c r="CX62" i="120"/>
  <c r="AI59" i="122"/>
  <c r="AI50" i="122" s="1"/>
  <c r="D52" i="120"/>
  <c r="D21" i="120" s="1"/>
  <c r="D20" i="120" s="1"/>
  <c r="D19" i="120" s="1"/>
  <c r="AA56" i="125"/>
  <c r="AC51" i="115"/>
  <c r="AM53" i="115"/>
  <c r="CF36" i="125"/>
  <c r="AJ22" i="115"/>
  <c r="AJ21" i="115" s="1"/>
  <c r="AJ20" i="115" s="1"/>
  <c r="U33" i="125"/>
  <c r="AA55" i="125"/>
  <c r="AD52" i="115" l="1"/>
  <c r="AD51" i="115" s="1"/>
  <c r="AM52" i="115"/>
  <c r="AM51" i="115" s="1"/>
  <c r="U54" i="125"/>
  <c r="AB55" i="125"/>
  <c r="E33" i="125"/>
  <c r="AM33" i="115"/>
  <c r="E35" i="125"/>
  <c r="AI49" i="122"/>
  <c r="AI18" i="122" s="1"/>
  <c r="AI17" i="122" s="1"/>
  <c r="AI16" i="122" s="1"/>
  <c r="CX53" i="120"/>
  <c r="CX52" i="120" s="1"/>
  <c r="CX21" i="120" s="1"/>
  <c r="CX20" i="120" s="1"/>
  <c r="CX19" i="120" s="1"/>
  <c r="AM31" i="115"/>
  <c r="S58" i="165"/>
  <c r="S49" i="165" s="1"/>
  <c r="R48" i="165"/>
  <c r="R17" i="165" s="1"/>
  <c r="R16" i="165" s="1"/>
  <c r="R15" i="165" s="1"/>
  <c r="CF35" i="125"/>
  <c r="U32" i="125"/>
  <c r="BR33" i="125"/>
  <c r="BR24" i="125" s="1"/>
  <c r="BR23" i="125" s="1"/>
  <c r="BR22" i="125" s="1"/>
  <c r="BR21" i="125" s="1"/>
  <c r="BR20" i="125" s="1"/>
  <c r="AB54" i="125" l="1"/>
  <c r="AB53" i="125" s="1"/>
  <c r="AJ19" i="115"/>
  <c r="AJ18" i="115" s="1"/>
  <c r="U53" i="125"/>
  <c r="AM30" i="115"/>
  <c r="E32" i="125"/>
  <c r="S48" i="165"/>
  <c r="S17" i="165" s="1"/>
  <c r="S16" i="165" s="1"/>
  <c r="S15" i="165" s="1"/>
  <c r="AE27" i="115"/>
  <c r="AE28" i="115"/>
  <c r="N22" i="115"/>
  <c r="AE22" i="115" l="1"/>
  <c r="AE21" i="115" s="1"/>
  <c r="AE20" i="115" s="1"/>
  <c r="U29" i="125"/>
  <c r="AM28" i="115"/>
  <c r="AM27" i="115"/>
  <c r="E29" i="125"/>
  <c r="AG27" i="126"/>
  <c r="U27" i="125"/>
  <c r="AO29" i="125"/>
  <c r="AO30" i="125"/>
  <c r="AP29" i="125" l="1"/>
  <c r="AC24" i="115"/>
  <c r="AC22" i="115" s="1"/>
  <c r="AC21" i="115" s="1"/>
  <c r="AC20" i="115" s="1"/>
  <c r="S26" i="126"/>
  <c r="AG26" i="126" s="1"/>
  <c r="BZ21" i="12"/>
  <c r="BP21" i="12"/>
  <c r="BF21" i="12"/>
  <c r="AV21" i="12"/>
  <c r="AL21" i="12"/>
  <c r="AL52" i="12"/>
  <c r="AL51" i="12" s="1"/>
  <c r="AV52" i="12"/>
  <c r="AV51" i="12" s="1"/>
  <c r="BF51" i="12"/>
  <c r="BP52" i="12"/>
  <c r="BP51" i="12" s="1"/>
  <c r="BZ52" i="12"/>
  <c r="BZ51" i="12" s="1"/>
  <c r="CJ52" i="12"/>
  <c r="CJ51" i="12" s="1"/>
  <c r="I53" i="12"/>
  <c r="L53" i="12" s="1"/>
  <c r="H51" i="12"/>
  <c r="I68" i="12"/>
  <c r="L68" i="12" s="1"/>
  <c r="P68" i="12"/>
  <c r="I67" i="12"/>
  <c r="L67" i="12" s="1"/>
  <c r="P67" i="12"/>
  <c r="I66" i="12"/>
  <c r="L66" i="12" s="1"/>
  <c r="P66" i="12"/>
  <c r="I65" i="12"/>
  <c r="L65" i="12" s="1"/>
  <c r="P65" i="12"/>
  <c r="I64" i="12"/>
  <c r="L64" i="12" s="1"/>
  <c r="P64" i="12"/>
  <c r="I63" i="12"/>
  <c r="L63" i="12" s="1"/>
  <c r="P63" i="12"/>
  <c r="I62" i="12"/>
  <c r="L62" i="12" s="1"/>
  <c r="P62" i="12"/>
  <c r="I61" i="12"/>
  <c r="L61" i="12" s="1"/>
  <c r="P61" i="12"/>
  <c r="I60" i="12"/>
  <c r="P60" i="12"/>
  <c r="I59" i="12"/>
  <c r="L59" i="12" s="1"/>
  <c r="P59" i="12"/>
  <c r="I58" i="12"/>
  <c r="L58" i="12" s="1"/>
  <c r="P58" i="12"/>
  <c r="I57" i="12"/>
  <c r="P57" i="12"/>
  <c r="P56" i="12"/>
  <c r="I56" i="12"/>
  <c r="P55" i="12"/>
  <c r="I55" i="12"/>
  <c r="L55" i="12" s="1"/>
  <c r="P54" i="12"/>
  <c r="I54" i="12"/>
  <c r="L54" i="12" s="1"/>
  <c r="P53" i="12"/>
  <c r="I34" i="12"/>
  <c r="L34" i="12" s="1"/>
  <c r="P34" i="12"/>
  <c r="AV20" i="12" l="1"/>
  <c r="R62" i="12"/>
  <c r="R68" i="12"/>
  <c r="BF20" i="12"/>
  <c r="BF19" i="12" s="1"/>
  <c r="BF18" i="12" s="1"/>
  <c r="U26" i="125"/>
  <c r="T58" i="12"/>
  <c r="R64" i="12"/>
  <c r="T59" i="12"/>
  <c r="R61" i="12"/>
  <c r="R63" i="12"/>
  <c r="R65" i="12"/>
  <c r="R67" i="12"/>
  <c r="T60" i="12"/>
  <c r="R66" i="12"/>
  <c r="R53" i="12"/>
  <c r="R55" i="12"/>
  <c r="L52" i="12"/>
  <c r="L51" i="12" s="1"/>
  <c r="AL20" i="12"/>
  <c r="AL19" i="12" s="1"/>
  <c r="AL18" i="12" s="1"/>
  <c r="AM24" i="115"/>
  <c r="AD24" i="115"/>
  <c r="AD22" i="115" s="1"/>
  <c r="AD21" i="115" s="1"/>
  <c r="AD20" i="115" s="1"/>
  <c r="R34" i="12"/>
  <c r="P52" i="12"/>
  <c r="P51" i="12" s="1"/>
  <c r="I52" i="12"/>
  <c r="I51" i="12" s="1"/>
  <c r="AA26" i="125"/>
  <c r="AV19" i="12"/>
  <c r="AV18" i="12" s="1"/>
  <c r="T62" i="12"/>
  <c r="I33" i="12"/>
  <c r="L33" i="12" s="1"/>
  <c r="P33" i="12"/>
  <c r="I31" i="12"/>
  <c r="L31" i="12" s="1"/>
  <c r="P31" i="12"/>
  <c r="I30" i="12"/>
  <c r="P30" i="12"/>
  <c r="BC60" i="12" l="1"/>
  <c r="BM61" i="12"/>
  <c r="BQ61" i="12" s="1"/>
  <c r="BM66" i="12"/>
  <c r="BM67" i="12"/>
  <c r="BM63" i="12"/>
  <c r="BC59" i="12"/>
  <c r="BM65" i="12"/>
  <c r="BM64" i="12"/>
  <c r="BC58" i="12"/>
  <c r="BM62" i="12"/>
  <c r="AS56" i="12"/>
  <c r="D53" i="165" s="1"/>
  <c r="T68" i="12"/>
  <c r="T63" i="12"/>
  <c r="AI55" i="12"/>
  <c r="AN55" i="12" s="1"/>
  <c r="T67" i="12"/>
  <c r="AI54" i="12"/>
  <c r="AN54" i="12" s="1"/>
  <c r="T64" i="12"/>
  <c r="T55" i="12"/>
  <c r="S55" i="12" s="1"/>
  <c r="T57" i="12"/>
  <c r="AI53" i="12"/>
  <c r="AN53" i="12" s="1"/>
  <c r="AS57" i="12"/>
  <c r="AW57" i="12" s="1"/>
  <c r="T66" i="12"/>
  <c r="Q52" i="12"/>
  <c r="Q51" i="12" s="1"/>
  <c r="R52" i="12"/>
  <c r="R51" i="12" s="1"/>
  <c r="T65" i="12"/>
  <c r="E26" i="125"/>
  <c r="AB26" i="125" s="1"/>
  <c r="AB24" i="125" s="1"/>
  <c r="AB23" i="125" s="1"/>
  <c r="R31" i="12"/>
  <c r="R33" i="12"/>
  <c r="AM55" i="12"/>
  <c r="J52" i="165" l="1"/>
  <c r="P55" i="115"/>
  <c r="D65" i="165"/>
  <c r="AW56" i="12"/>
  <c r="D51" i="165"/>
  <c r="BM52" i="12"/>
  <c r="BM51" i="12" s="1"/>
  <c r="BC52" i="12"/>
  <c r="BC51" i="12" s="1"/>
  <c r="BC30" i="12"/>
  <c r="BM22" i="12"/>
  <c r="BM21" i="12" s="1"/>
  <c r="AS52" i="12"/>
  <c r="AS51" i="12" s="1"/>
  <c r="BW52" i="12"/>
  <c r="BW51" i="12" s="1"/>
  <c r="AM54" i="12"/>
  <c r="AN52" i="12"/>
  <c r="AN51" i="12" s="1"/>
  <c r="D52" i="165"/>
  <c r="AM53" i="12"/>
  <c r="AR53" i="12" s="1"/>
  <c r="AI52" i="12"/>
  <c r="AI51" i="12" s="1"/>
  <c r="D50" i="165"/>
  <c r="T52" i="12"/>
  <c r="T51" i="12" s="1"/>
  <c r="AD19" i="115"/>
  <c r="AD18" i="115" s="1"/>
  <c r="CA52" i="12"/>
  <c r="CA51" i="12" s="1"/>
  <c r="CF68" i="12"/>
  <c r="AW52" i="12"/>
  <c r="AW51" i="12" s="1"/>
  <c r="T31" i="12"/>
  <c r="D31" i="165"/>
  <c r="CA34" i="12"/>
  <c r="AR55" i="12"/>
  <c r="I28" i="12"/>
  <c r="P28" i="12"/>
  <c r="I27" i="12"/>
  <c r="P27" i="12"/>
  <c r="E57" i="125" l="1"/>
  <c r="AN55" i="115"/>
  <c r="CT57" i="125"/>
  <c r="R55" i="115"/>
  <c r="S55" i="115" s="1"/>
  <c r="M52" i="165"/>
  <c r="BM20" i="12"/>
  <c r="BM19" i="12" s="1"/>
  <c r="K52" i="165"/>
  <c r="F52" i="165"/>
  <c r="AM52" i="12"/>
  <c r="AM51" i="12" s="1"/>
  <c r="AR54" i="12"/>
  <c r="AR52" i="12" s="1"/>
  <c r="AR51" i="12" s="1"/>
  <c r="D54" i="165"/>
  <c r="BB51" i="12"/>
  <c r="AX56" i="12"/>
  <c r="CF34" i="12"/>
  <c r="CB34" i="12" s="1"/>
  <c r="CF52" i="12"/>
  <c r="CF51" i="12" s="1"/>
  <c r="CB68" i="12"/>
  <c r="CB52" i="12" s="1"/>
  <c r="CB51" i="12" s="1"/>
  <c r="D30" i="165"/>
  <c r="CA33" i="12"/>
  <c r="I25" i="12"/>
  <c r="CJ24" i="12"/>
  <c r="P24" i="12"/>
  <c r="I24" i="12"/>
  <c r="L24" i="12" s="1"/>
  <c r="AX52" i="12" l="1"/>
  <c r="AX51" i="12" s="1"/>
  <c r="T28" i="12"/>
  <c r="CF33" i="12"/>
  <c r="CB33" i="12" s="1"/>
  <c r="I21" i="165"/>
  <c r="CO24" i="12"/>
  <c r="T27" i="12"/>
  <c r="AS28" i="12"/>
  <c r="CG28" i="12" s="1"/>
  <c r="R24" i="12"/>
  <c r="AS27" i="12"/>
  <c r="AI24" i="12" l="1"/>
  <c r="AN24" i="12" s="1"/>
  <c r="AW28" i="12"/>
  <c r="CG27" i="12"/>
  <c r="D24" i="165" s="1"/>
  <c r="AW27" i="12"/>
  <c r="T24" i="12"/>
  <c r="AM25" i="12"/>
  <c r="AM24" i="12"/>
  <c r="CG24" i="12" l="1"/>
  <c r="AX27" i="12"/>
  <c r="AR24" i="12"/>
  <c r="M48" i="165" l="1"/>
  <c r="L19" i="122" l="1"/>
  <c r="L18" i="122" s="1"/>
  <c r="L17" i="122" s="1"/>
  <c r="H22" i="120"/>
  <c r="H21" i="120" s="1"/>
  <c r="H20" i="120" s="1"/>
  <c r="H19" i="120" s="1"/>
  <c r="L16" i="122" l="1"/>
  <c r="AK17" i="122"/>
  <c r="AK16" i="122" s="1"/>
  <c r="P26" i="12"/>
  <c r="P29" i="12"/>
  <c r="P32" i="12"/>
  <c r="I26" i="12"/>
  <c r="I29" i="12"/>
  <c r="I32" i="12"/>
  <c r="L32" i="12" s="1"/>
  <c r="I23" i="12"/>
  <c r="Q17" i="165"/>
  <c r="Q16" i="165" s="1"/>
  <c r="Q15" i="165" s="1"/>
  <c r="P18" i="165"/>
  <c r="P17" i="165" s="1"/>
  <c r="P16" i="165" s="1"/>
  <c r="P15" i="165" s="1"/>
  <c r="AJ23" i="126"/>
  <c r="AJ22" i="126" s="1"/>
  <c r="AJ21" i="126" s="1"/>
  <c r="AJ20" i="126" s="1"/>
  <c r="V23" i="126"/>
  <c r="V22" i="126" s="1"/>
  <c r="V21" i="126" s="1"/>
  <c r="V20" i="126" s="1"/>
  <c r="AL23" i="125"/>
  <c r="AL22" i="125" s="1"/>
  <c r="AL21" i="125" s="1"/>
  <c r="AL20" i="125" s="1"/>
  <c r="L22" i="115"/>
  <c r="N21" i="115"/>
  <c r="H22" i="115"/>
  <c r="I22" i="12" l="1"/>
  <c r="L23" i="12"/>
  <c r="L22" i="12" s="1"/>
  <c r="R32" i="12"/>
  <c r="R29" i="12"/>
  <c r="H21" i="115"/>
  <c r="H20" i="115" s="1"/>
  <c r="L21" i="115"/>
  <c r="M22" i="115"/>
  <c r="M21" i="115" s="1"/>
  <c r="O21" i="115"/>
  <c r="P22" i="12"/>
  <c r="P21" i="12" s="1"/>
  <c r="P20" i="12" s="1"/>
  <c r="N20" i="115"/>
  <c r="N19" i="115" s="1"/>
  <c r="N18" i="115" s="1"/>
  <c r="I21" i="12"/>
  <c r="I20" i="12" s="1"/>
  <c r="H21" i="12"/>
  <c r="H20" i="12" s="1"/>
  <c r="R22" i="12" l="1"/>
  <c r="R21" i="12" s="1"/>
  <c r="R20" i="12" s="1"/>
  <c r="L21" i="12"/>
  <c r="L20" i="12" s="1"/>
  <c r="L19" i="12" s="1"/>
  <c r="L18" i="12" s="1"/>
  <c r="T23" i="12"/>
  <c r="S25" i="126"/>
  <c r="S24" i="126" s="1"/>
  <c r="L20" i="115"/>
  <c r="L19" i="115" s="1"/>
  <c r="L18" i="115" s="1"/>
  <c r="M20" i="115"/>
  <c r="M19" i="115" s="1"/>
  <c r="M18" i="115" s="1"/>
  <c r="O20" i="115"/>
  <c r="O19" i="115" s="1"/>
  <c r="O18" i="115" s="1"/>
  <c r="P19" i="12"/>
  <c r="P18" i="12" s="1"/>
  <c r="U25" i="125" l="1"/>
  <c r="U24" i="125" s="1"/>
  <c r="U23" i="125" s="1"/>
  <c r="U22" i="125" s="1"/>
  <c r="U31" i="125"/>
  <c r="R19" i="12"/>
  <c r="R18" i="12" s="1"/>
  <c r="U34" i="125"/>
  <c r="U28" i="125"/>
  <c r="H19" i="115"/>
  <c r="AL22" i="115"/>
  <c r="AL21" i="115" s="1"/>
  <c r="AL20" i="115" s="1"/>
  <c r="AM29" i="115"/>
  <c r="CF34" i="125"/>
  <c r="CF24" i="125" s="1"/>
  <c r="CF23" i="125" s="1"/>
  <c r="CF22" i="125" s="1"/>
  <c r="AM23" i="115"/>
  <c r="AM32" i="115"/>
  <c r="AM26" i="115"/>
  <c r="AM22" i="115" l="1"/>
  <c r="AM21" i="115" s="1"/>
  <c r="AM20" i="115" s="1"/>
  <c r="U21" i="125"/>
  <c r="AB22" i="125"/>
  <c r="CF21" i="125"/>
  <c r="CF20" i="125" s="1"/>
  <c r="H18" i="115"/>
  <c r="AA25" i="125"/>
  <c r="AA24" i="125" s="1"/>
  <c r="AA23" i="125" s="1"/>
  <c r="E34" i="125"/>
  <c r="E28" i="125"/>
  <c r="AE19" i="115"/>
  <c r="AE18" i="115" s="1"/>
  <c r="E31" i="125" l="1"/>
  <c r="BD31" i="125"/>
  <c r="BD24" i="125" s="1"/>
  <c r="BD23" i="125" s="1"/>
  <c r="AP28" i="125"/>
  <c r="U20" i="125"/>
  <c r="AB20" i="125" s="1"/>
  <c r="AB21" i="125"/>
  <c r="AL19" i="115"/>
  <c r="AL18" i="115" s="1"/>
  <c r="AM19" i="115"/>
  <c r="AM18" i="115" s="1"/>
  <c r="AG25" i="126"/>
  <c r="AG24" i="126" s="1"/>
  <c r="S23" i="126"/>
  <c r="S22" i="126" s="1"/>
  <c r="S21" i="126" l="1"/>
  <c r="S20" i="126" s="1"/>
  <c r="AG23" i="126"/>
  <c r="AG22" i="126" s="1"/>
  <c r="I19" i="12"/>
  <c r="I18" i="12" s="1"/>
  <c r="H19" i="12"/>
  <c r="H18" i="12" s="1"/>
  <c r="AG21" i="126" l="1"/>
  <c r="AG20" i="126" s="1"/>
  <c r="K20" i="151"/>
  <c r="CB32" i="12" l="1"/>
  <c r="CB22" i="12" s="1"/>
  <c r="CB21" i="12" s="1"/>
  <c r="CB20" i="12" s="1"/>
  <c r="BW22" i="12"/>
  <c r="BW21" i="12" s="1"/>
  <c r="BW20" i="12" s="1"/>
  <c r="Q22" i="12"/>
  <c r="Q21" i="12" s="1"/>
  <c r="Q20" i="12" s="1"/>
  <c r="CA32" i="12"/>
  <c r="AI23" i="12"/>
  <c r="AI22" i="12" s="1"/>
  <c r="AS26" i="12"/>
  <c r="T32" i="12"/>
  <c r="T22" i="12" s="1"/>
  <c r="T21" i="12" s="1"/>
  <c r="T20" i="12" s="1"/>
  <c r="H20" i="192"/>
  <c r="H20" i="191"/>
  <c r="L20" i="190"/>
  <c r="K20" i="190"/>
  <c r="H20" i="190"/>
  <c r="K20" i="189"/>
  <c r="J20" i="189"/>
  <c r="H20" i="189"/>
  <c r="AS22" i="12" l="1"/>
  <c r="AS21" i="12" s="1"/>
  <c r="AS20" i="12" s="1"/>
  <c r="CF32" i="12"/>
  <c r="CF22" i="12" s="1"/>
  <c r="CF21" i="12" s="1"/>
  <c r="CF20" i="12" s="1"/>
  <c r="CA22" i="12"/>
  <c r="CA21" i="12" s="1"/>
  <c r="D29" i="165"/>
  <c r="AI21" i="12"/>
  <c r="AI20" i="12" s="1"/>
  <c r="AN23" i="12"/>
  <c r="Q19" i="12"/>
  <c r="Q18" i="12" s="1"/>
  <c r="AW26" i="12"/>
  <c r="AM23" i="12"/>
  <c r="CG23" i="12"/>
  <c r="CJ32" i="12"/>
  <c r="CO32" i="12" s="1"/>
  <c r="CG26" i="12"/>
  <c r="H20" i="151"/>
  <c r="CF19" i="12" l="1"/>
  <c r="CA20" i="12"/>
  <c r="AW22" i="12"/>
  <c r="AW21" i="12" s="1"/>
  <c r="AW20" i="12" s="1"/>
  <c r="I29" i="165"/>
  <c r="D23" i="165"/>
  <c r="AM22" i="12"/>
  <c r="AM21" i="12" s="1"/>
  <c r="AM20" i="12" s="1"/>
  <c r="AR23" i="12"/>
  <c r="AS19" i="12"/>
  <c r="AS18" i="12" s="1"/>
  <c r="AI19" i="12"/>
  <c r="AI18" i="12" s="1"/>
  <c r="T19" i="12"/>
  <c r="T18" i="12" s="1"/>
  <c r="CJ26" i="12"/>
  <c r="CJ29" i="12"/>
  <c r="CJ23" i="12"/>
  <c r="CJ22" i="12" s="1"/>
  <c r="CB19" i="12" l="1"/>
  <c r="CF18" i="12"/>
  <c r="CA19" i="12"/>
  <c r="I23" i="165"/>
  <c r="CO26" i="12"/>
  <c r="I26" i="165"/>
  <c r="CO29" i="12"/>
  <c r="CJ21" i="12"/>
  <c r="CJ20" i="12" s="1"/>
  <c r="CJ19" i="12" s="1"/>
  <c r="CJ18" i="12" s="1"/>
  <c r="CO23" i="12"/>
  <c r="AW19" i="12"/>
  <c r="AW18" i="12" s="1"/>
  <c r="AM19" i="12"/>
  <c r="AM18" i="12" s="1"/>
  <c r="I20" i="165"/>
  <c r="CO22" i="12" l="1"/>
  <c r="CO21" i="12" s="1"/>
  <c r="CO19" i="12" s="1"/>
  <c r="CO18" i="12" s="1"/>
  <c r="CB18" i="12"/>
  <c r="BW18" i="12" s="1"/>
  <c r="BW19" i="12"/>
  <c r="H38" i="193"/>
  <c r="H36" i="193" s="1"/>
  <c r="H35" i="193" s="1"/>
  <c r="H16" i="193" s="1"/>
  <c r="H15" i="193" s="1"/>
  <c r="CA18" i="12"/>
  <c r="I19" i="165"/>
  <c r="I18" i="165" s="1"/>
  <c r="M18" i="165" l="1"/>
  <c r="M17" i="165" s="1"/>
  <c r="AC19" i="115"/>
  <c r="AC18" i="115" s="1"/>
  <c r="M16" i="165" l="1"/>
  <c r="M15" i="165" s="1"/>
  <c r="AH38" i="126" l="1"/>
  <c r="S38" i="126"/>
  <c r="AG38" i="126"/>
  <c r="T38" i="126"/>
  <c r="D56" i="165"/>
  <c r="BG60" i="12"/>
  <c r="BG59" i="12"/>
  <c r="BH59" i="12" s="1"/>
  <c r="BG58" i="12"/>
  <c r="CG30" i="12"/>
  <c r="D27" i="165" s="1"/>
  <c r="BG30" i="12"/>
  <c r="BG52" i="12" l="1"/>
  <c r="BG51" i="12" s="1"/>
  <c r="BH30" i="12"/>
  <c r="BH60" i="12"/>
  <c r="D26" i="165" l="1"/>
  <c r="D57" i="165"/>
  <c r="BH21" i="12"/>
  <c r="D59" i="165" l="1"/>
  <c r="D60" i="165"/>
  <c r="D63" i="165"/>
  <c r="D61" i="165"/>
  <c r="BQ64" i="12"/>
  <c r="BQ67" i="12"/>
  <c r="D62" i="165"/>
  <c r="BQ65" i="12"/>
  <c r="BQ62" i="12"/>
  <c r="BR62" i="12" s="1"/>
  <c r="BQ63" i="12"/>
  <c r="BQ66" i="12"/>
  <c r="CG31" i="12"/>
  <c r="BQ31" i="12"/>
  <c r="BQ22" i="12" s="1"/>
  <c r="BQ21" i="12" s="1"/>
  <c r="D64" i="165" l="1"/>
  <c r="BR64" i="12"/>
  <c r="BQ52" i="12"/>
  <c r="BQ51" i="12" s="1"/>
  <c r="BQ20" i="12" s="1"/>
  <c r="BQ19" i="12" s="1"/>
  <c r="BQ18" i="12" s="1"/>
  <c r="BR65" i="12"/>
  <c r="BR22" i="12"/>
  <c r="BR21" i="12" s="1"/>
  <c r="BR67" i="12"/>
  <c r="BR61" i="12"/>
  <c r="BR63" i="12"/>
  <c r="CG52" i="12"/>
  <c r="CG51" i="12" s="1"/>
  <c r="CG20" i="12" s="1"/>
  <c r="BR66" i="12"/>
  <c r="BV22" i="12"/>
  <c r="BV21" i="12" s="1"/>
  <c r="BR52" i="12" l="1"/>
  <c r="BR51" i="12" s="1"/>
  <c r="BR20" i="12" s="1"/>
  <c r="CK52" i="12"/>
  <c r="CK51" i="12" s="1"/>
  <c r="CK20" i="12" s="1"/>
  <c r="BV52" i="12"/>
  <c r="BV51" i="12" s="1"/>
  <c r="BV20" i="12" s="1"/>
  <c r="D58" i="165"/>
  <c r="BR19" i="12" l="1"/>
  <c r="D28" i="165"/>
  <c r="BV19" i="12"/>
  <c r="CK19" i="12"/>
  <c r="BR18" i="12"/>
  <c r="CK18" i="12" l="1"/>
  <c r="CG19" i="12"/>
  <c r="BV18" i="12"/>
  <c r="G38" i="193" l="1"/>
  <c r="G36" i="193" s="1"/>
  <c r="G35" i="193" s="1"/>
  <c r="G16" i="193" s="1"/>
  <c r="G15" i="193" s="1"/>
  <c r="BM18" i="12"/>
  <c r="U58" i="12" l="1"/>
  <c r="BL58" i="12"/>
  <c r="BH58" i="12" s="1"/>
  <c r="BH52" i="12" s="1"/>
  <c r="BH51" i="12" s="1"/>
  <c r="BH20" i="12" s="1"/>
  <c r="BL52" i="12"/>
  <c r="BL51" i="12" s="1"/>
  <c r="D55" i="165" l="1"/>
  <c r="CP58" i="12"/>
  <c r="BH19" i="12"/>
  <c r="CL58" i="12" l="1"/>
  <c r="CL52" i="12" s="1"/>
  <c r="CP52" i="12"/>
  <c r="BH18" i="12"/>
  <c r="BB46" i="12"/>
  <c r="AF46" i="115" l="1"/>
  <c r="E48" i="125"/>
  <c r="AX46" i="12"/>
  <c r="T46" i="115"/>
  <c r="Q46" i="115"/>
  <c r="R46" i="115" l="1"/>
  <c r="AP48" i="125"/>
  <c r="Q47" i="115"/>
  <c r="T47" i="115" l="1"/>
  <c r="R47" i="115" s="1"/>
  <c r="AH47" i="115"/>
  <c r="AH22" i="115" s="1"/>
  <c r="AH21" i="115" s="1"/>
  <c r="AF39" i="115" l="1"/>
  <c r="BB39" i="12"/>
  <c r="AX39" i="12" s="1"/>
  <c r="Q39" i="115" l="1"/>
  <c r="T39" i="115"/>
  <c r="E41" i="125"/>
  <c r="R39" i="115" l="1"/>
  <c r="AP41" i="125"/>
  <c r="BB35" i="12"/>
  <c r="AF35" i="115"/>
  <c r="AP37" i="125" l="1"/>
  <c r="E37" i="125"/>
  <c r="AX35" i="12"/>
  <c r="Q35" i="115"/>
  <c r="T35" i="115"/>
  <c r="R35" i="115" l="1"/>
  <c r="Q37" i="115" l="1"/>
  <c r="AF37" i="115"/>
  <c r="T37" i="115"/>
  <c r="BB37" i="12"/>
  <c r="AX37" i="12" s="1"/>
  <c r="AP39" i="125" l="1"/>
  <c r="E39" i="125"/>
  <c r="R37" i="115"/>
  <c r="Q40" i="115" l="1"/>
  <c r="AF40" i="115"/>
  <c r="BB40" i="12"/>
  <c r="AX40" i="12" s="1"/>
  <c r="E42" i="125" l="1"/>
  <c r="T40" i="115"/>
  <c r="R40" i="115" s="1"/>
  <c r="AP42" i="125" l="1"/>
  <c r="BB38" i="12"/>
  <c r="AX38" i="12" l="1"/>
  <c r="Q38" i="115"/>
  <c r="T38" i="115" l="1"/>
  <c r="R38" i="115" s="1"/>
  <c r="E40" i="125"/>
  <c r="AF38" i="115"/>
  <c r="AP40" i="125" l="1"/>
  <c r="T42" i="115" l="1"/>
  <c r="E44" i="125"/>
  <c r="BB42" i="12"/>
  <c r="AP44" i="125" l="1"/>
  <c r="AF42" i="115"/>
  <c r="AX42" i="12"/>
  <c r="Q42" i="115"/>
  <c r="R42" i="115" l="1"/>
  <c r="E45" i="125"/>
  <c r="Q43" i="115"/>
  <c r="AF43" i="115"/>
  <c r="BB43" i="12"/>
  <c r="T43" i="115" l="1"/>
  <c r="AX43" i="12"/>
  <c r="AP45" i="125"/>
  <c r="R43" i="115" l="1"/>
  <c r="BB44" i="12"/>
  <c r="AX44" i="12" s="1"/>
  <c r="T44" i="115"/>
  <c r="E46" i="125"/>
  <c r="AP46" i="125" l="1"/>
  <c r="AF44" i="115"/>
  <c r="Q44" i="115"/>
  <c r="R44" i="115" l="1"/>
  <c r="BB45" i="12"/>
  <c r="Q45" i="115"/>
  <c r="T45" i="115" l="1"/>
  <c r="AX45" i="12"/>
  <c r="E47" i="125"/>
  <c r="AF45" i="115"/>
  <c r="AP47" i="125" l="1"/>
  <c r="R45" i="115"/>
  <c r="D20" i="165" l="1"/>
  <c r="D21" i="165"/>
  <c r="CP24" i="12"/>
  <c r="D22" i="165"/>
  <c r="J18" i="165"/>
  <c r="CP25" i="12"/>
  <c r="AN25" i="12"/>
  <c r="AR25" i="12" s="1"/>
  <c r="AR22" i="12" s="1"/>
  <c r="AR21" i="12" s="1"/>
  <c r="AR20" i="12" s="1"/>
  <c r="AR19" i="12" s="1"/>
  <c r="AR18" i="12" s="1"/>
  <c r="D38" i="193" s="1"/>
  <c r="D36" i="193" s="1"/>
  <c r="D35" i="193" s="1"/>
  <c r="D16" i="193" s="1"/>
  <c r="D15" i="193" s="1"/>
  <c r="CL24" i="12" l="1"/>
  <c r="CL25" i="12"/>
  <c r="AN22" i="12"/>
  <c r="AN21" i="12" s="1"/>
  <c r="AN20" i="12" s="1"/>
  <c r="AN19" i="12" s="1"/>
  <c r="AN18" i="12" s="1"/>
  <c r="F18" i="165" l="1"/>
  <c r="K18" i="165"/>
  <c r="D25" i="165"/>
  <c r="D19" i="165" s="1"/>
  <c r="D18" i="165" s="1"/>
  <c r="CP28" i="12"/>
  <c r="CL51" i="12"/>
  <c r="CP51" i="12"/>
  <c r="I52" i="115"/>
  <c r="I51" i="115" s="1"/>
  <c r="T52" i="115"/>
  <c r="T51" i="115" s="1"/>
  <c r="Q52" i="115"/>
  <c r="Q51" i="115" s="1"/>
  <c r="U41" i="12"/>
  <c r="BB41" i="12" s="1"/>
  <c r="AX41" i="12" s="1"/>
  <c r="U36" i="12"/>
  <c r="I36" i="115" s="1"/>
  <c r="CL28" i="12" l="1"/>
  <c r="AF36" i="115"/>
  <c r="BB36" i="12"/>
  <c r="U22" i="12"/>
  <c r="U21" i="12" s="1"/>
  <c r="CP36" i="12"/>
  <c r="CP22" i="12" s="1"/>
  <c r="CP41" i="12"/>
  <c r="CL41" i="12" s="1"/>
  <c r="I41" i="115"/>
  <c r="I22" i="115" s="1"/>
  <c r="I21" i="115" s="1"/>
  <c r="I20" i="115" s="1"/>
  <c r="I19" i="115" s="1"/>
  <c r="I18" i="115" s="1"/>
  <c r="AF41" i="115" l="1"/>
  <c r="AX36" i="12"/>
  <c r="AX22" i="12" s="1"/>
  <c r="AX21" i="12" s="1"/>
  <c r="AX19" i="12" s="1"/>
  <c r="CL19" i="12" s="1"/>
  <c r="BB22" i="12"/>
  <c r="BB21" i="12" s="1"/>
  <c r="BB20" i="12" s="1"/>
  <c r="CP21" i="12"/>
  <c r="CP20" i="12" s="1"/>
  <c r="CL36" i="12"/>
  <c r="CL22" i="12" s="1"/>
  <c r="CT38" i="125"/>
  <c r="P22" i="115"/>
  <c r="P21" i="115" s="1"/>
  <c r="T36" i="115"/>
  <c r="Q36" i="115"/>
  <c r="AF22" i="115"/>
  <c r="AF21" i="115" s="1"/>
  <c r="AF20" i="115" s="1"/>
  <c r="AF19" i="115" s="1"/>
  <c r="AF18" i="115" s="1"/>
  <c r="AN22" i="115"/>
  <c r="AN21" i="115" s="1"/>
  <c r="AP38" i="125"/>
  <c r="E38" i="125"/>
  <c r="CL21" i="12" l="1"/>
  <c r="CL18" i="12" s="1"/>
  <c r="CS18" i="12" s="1"/>
  <c r="CL20" i="12"/>
  <c r="AX18" i="12"/>
  <c r="CT43" i="125"/>
  <c r="T41" i="115"/>
  <c r="T22" i="115" s="1"/>
  <c r="T21" i="115" s="1"/>
  <c r="T20" i="115" s="1"/>
  <c r="T19" i="115" s="1"/>
  <c r="T18" i="115" s="1"/>
  <c r="Q41" i="115"/>
  <c r="Q22" i="115" s="1"/>
  <c r="Q21" i="115" s="1"/>
  <c r="Q20" i="115" s="1"/>
  <c r="Q19" i="115" s="1"/>
  <c r="Q18" i="115" s="1"/>
  <c r="E43" i="125"/>
  <c r="E24" i="125" s="1"/>
  <c r="AP43" i="125"/>
  <c r="AP24" i="125" s="1"/>
  <c r="AP23" i="125" s="1"/>
  <c r="AP22" i="125" s="1"/>
  <c r="AP21" i="125" s="1"/>
  <c r="AP20" i="125" s="1"/>
  <c r="R36" i="115"/>
  <c r="BB19" i="12"/>
  <c r="BB18" i="12" s="1"/>
  <c r="E38" i="193" s="1"/>
  <c r="E36" i="193" s="1"/>
  <c r="E35" i="193" s="1"/>
  <c r="E16" i="193" s="1"/>
  <c r="E15" i="193" s="1"/>
  <c r="AX20" i="12"/>
  <c r="CT24" i="125" l="1"/>
  <c r="E23" i="125"/>
  <c r="R41" i="115"/>
  <c r="R22" i="115" s="1"/>
  <c r="R21" i="115" s="1"/>
  <c r="CT23" i="125" l="1"/>
  <c r="AH70" i="115"/>
  <c r="CT74" i="125"/>
  <c r="BD53" i="125" s="1"/>
  <c r="BD22" i="125" s="1"/>
  <c r="BD21" i="125" s="1"/>
  <c r="BD20" i="125" s="1"/>
  <c r="R70" i="115"/>
  <c r="S70" i="115" s="1"/>
  <c r="P52" i="115"/>
  <c r="R71" i="115"/>
  <c r="S71" i="115" s="1"/>
  <c r="AH71" i="115"/>
  <c r="AH52" i="115"/>
  <c r="AH51" i="115" s="1"/>
  <c r="AH20" i="115" s="1"/>
  <c r="AH19" i="115" s="1"/>
  <c r="AH18" i="115" s="1"/>
  <c r="S52" i="115" l="1"/>
  <c r="S51" i="115" s="1"/>
  <c r="S20" i="115" s="1"/>
  <c r="S19" i="115" s="1"/>
  <c r="S18" i="115" s="1"/>
  <c r="P51" i="115"/>
  <c r="AN52" i="115"/>
  <c r="E54" i="125" s="1"/>
  <c r="R52" i="115"/>
  <c r="R51" i="115" s="1"/>
  <c r="R20" i="115" s="1"/>
  <c r="R19" i="115" s="1"/>
  <c r="R18" i="115" s="1"/>
  <c r="AN51" i="115" l="1"/>
  <c r="P20" i="115"/>
  <c r="P19" i="115" s="1"/>
  <c r="P18" i="115" s="1"/>
  <c r="AN19" i="115" l="1"/>
  <c r="AN18" i="115" s="1"/>
  <c r="AN20" i="115"/>
  <c r="E53" i="125"/>
  <c r="CT53" i="125" l="1"/>
  <c r="E22" i="125"/>
  <c r="E21" i="125" s="1"/>
  <c r="E20" i="125" s="1"/>
  <c r="J48" i="165"/>
  <c r="F48" i="165" s="1"/>
  <c r="F17" i="165" s="1"/>
  <c r="F16" i="165" s="1"/>
  <c r="F15" i="165" s="1"/>
  <c r="K48" i="165"/>
  <c r="K16" i="165"/>
  <c r="K15" i="165" s="1"/>
  <c r="J16" i="165"/>
  <c r="J15" i="165" s="1"/>
  <c r="CT21" i="125" l="1"/>
  <c r="CT20" i="125" s="1"/>
  <c r="CT54" i="125"/>
  <c r="CT22" i="125"/>
  <c r="BL21" i="12"/>
  <c r="BL20" i="12"/>
  <c r="BL19" i="12" s="1"/>
  <c r="CK22" i="12"/>
  <c r="CG29" i="12"/>
  <c r="CG22" i="12" s="1"/>
  <c r="BG22" i="12"/>
  <c r="BG21" i="12" s="1"/>
  <c r="BG20" i="12" s="1"/>
  <c r="BG19" i="12" s="1"/>
  <c r="BL18" i="12" l="1"/>
  <c r="F38" i="193" s="1"/>
  <c r="F36" i="193" s="1"/>
  <c r="F35" i="193" s="1"/>
  <c r="F16" i="193" s="1"/>
  <c r="F15" i="193" s="1"/>
  <c r="CP19" i="12"/>
  <c r="BC19" i="12"/>
  <c r="BC18" i="12" s="1"/>
  <c r="BG18" i="12"/>
  <c r="BC22" i="12"/>
  <c r="BC21" i="12" s="1"/>
  <c r="BC20" i="12" s="1"/>
  <c r="CP18" i="12"/>
  <c r="K68" i="165"/>
  <c r="F68" i="165"/>
  <c r="S18" i="12"/>
  <c r="K67" i="165"/>
  <c r="F67" i="165"/>
  <c r="D16" i="165"/>
  <c r="D15" i="165"/>
  <c r="D67" i="165"/>
  <c r="D49" i="165"/>
  <c r="D48" i="165"/>
  <c r="D17" i="165"/>
  <c r="S19" i="12"/>
  <c r="J67" i="165"/>
  <c r="U20" i="12"/>
  <c r="U19" i="12"/>
  <c r="U18" i="12"/>
  <c r="S71" i="12"/>
  <c r="J68" i="165"/>
  <c r="U52" i="12"/>
  <c r="U51" i="12"/>
  <c r="CP71" i="12"/>
  <c r="CL71" i="12"/>
  <c r="U71" i="12"/>
  <c r="S20" i="12"/>
  <c r="CP70" i="12"/>
  <c r="CL70" i="12"/>
  <c r="U70" i="12"/>
  <c r="S70" i="12"/>
  <c r="S52" i="12"/>
  <c r="S51" i="12"/>
</calcChain>
</file>

<file path=xl/comments1.xml><?xml version="1.0" encoding="utf-8"?>
<comments xmlns="http://schemas.openxmlformats.org/spreadsheetml/2006/main">
  <authors>
    <author>Морева Светлана Анатольевна</author>
  </authors>
  <commentList>
    <comment ref="D17" authorId="0" shapeId="0">
      <text>
        <r>
          <rPr>
            <b/>
            <sz val="9"/>
            <color indexed="81"/>
            <rFont val="Tahoma"/>
            <family val="2"/>
            <charset val="204"/>
          </rPr>
          <t>Морева Светлана Анатольевна:</t>
        </r>
        <r>
          <rPr>
            <sz val="9"/>
            <color indexed="81"/>
            <rFont val="Tahoma"/>
            <family val="2"/>
            <charset val="204"/>
          </rPr>
          <t xml:space="preserve">
вместо слов «Наименование показателя энергетической эффективности, единицы измерения» указываются наименования показателей энергетической эффективности объектов, оборудования или группы оборудования, создание или модернизация которых планируется инвестиционными проектами, предусмотренные требованиями к программам в области энергосбережения и повышения энергетической эффективности, и единицы измерения таких показателей;</t>
        </r>
      </text>
    </comment>
    <comment ref="D18" authorId="0" shapeId="0">
      <text>
        <r>
          <rPr>
            <b/>
            <sz val="9"/>
            <color indexed="81"/>
            <rFont val="Tahoma"/>
            <family val="2"/>
            <charset val="204"/>
          </rPr>
          <t>Морева Светлана Анатольевна:</t>
        </r>
        <r>
          <rPr>
            <sz val="9"/>
            <color indexed="81"/>
            <rFont val="Tahoma"/>
            <family val="2"/>
            <charset val="204"/>
          </rPr>
          <t xml:space="preserve">
вместо слов «Наименование вида объекта (оборудования, группы оборудования)» указываются наименования видов объектов, оборудования или группы оборудования, предусмотренных инвестиционными проектами, и в отношении которых требованиями к программам в области энергосбережения и повышения энергетической эффективности определены показатели энергетической эффективности, с дополнением формы раскрытия необходимым количеством столбцов.</t>
        </r>
      </text>
    </comment>
  </commentList>
</comments>
</file>

<file path=xl/sharedStrings.xml><?xml version="1.0" encoding="utf-8"?>
<sst xmlns="http://schemas.openxmlformats.org/spreadsheetml/2006/main" count="38747" uniqueCount="1748">
  <si>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</si>
  <si>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</si>
  <si>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</si>
  <si>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</si>
  <si>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</si>
  <si>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</si>
  <si>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</si>
  <si>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</si>
  <si>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</si>
  <si>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</si>
  <si>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</si>
  <si>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</si>
  <si>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</si>
  <si>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</si>
  <si>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</si>
  <si>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</si>
  <si>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</si>
  <si>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</si>
  <si>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</si>
  <si>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</si>
  <si>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</si>
  <si>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</si>
  <si>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</si>
  <si>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</si>
  <si>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</si>
  <si>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</si>
  <si>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</si>
  <si>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</si>
  <si>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</si>
  <si>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</si>
  <si>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</si>
  <si>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</si>
  <si>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</si>
  <si>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</si>
  <si>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</si>
  <si>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</si>
  <si>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</si>
  <si>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</si>
  <si>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</si>
  <si>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</si>
  <si>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</si>
  <si>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</si>
  <si>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</si>
  <si>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</si>
  <si>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</si>
  <si>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</si>
  <si>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</si>
  <si>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</si>
  <si>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</si>
  <si>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</si>
  <si>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</si>
  <si>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</si>
  <si>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</si>
  <si>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</si>
  <si>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</si>
  <si>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</si>
  <si>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</si>
  <si>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</si>
  <si>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</si>
  <si>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</si>
  <si>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</si>
  <si>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</si>
  <si>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</si>
  <si>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</si>
  <si>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</si>
  <si>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</si>
  <si>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</si>
  <si>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</si>
  <si>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</si>
  <si>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</si>
  <si>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</si>
  <si>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</si>
  <si>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</si>
  <si>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</si>
  <si>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</si>
  <si>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</si>
  <si>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</si>
  <si>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</si>
  <si>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</si>
  <si>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</si>
  <si>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</si>
  <si>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</si>
  <si>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</si>
  <si>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</si>
  <si>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</si>
  <si>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</si>
  <si>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</si>
  <si>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</si>
  <si>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</si>
  <si>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</si>
  <si>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</si>
  <si>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</si>
  <si>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</si>
  <si>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</si>
  <si>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</si>
  <si>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</si>
  <si>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</si>
  <si>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</si>
  <si>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</si>
  <si>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</si>
  <si>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</si>
  <si>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</si>
  <si>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</si>
  <si>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</si>
  <si>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</si>
  <si>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</si>
  <si>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</si>
  <si>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</si>
  <si>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</si>
  <si>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</si>
  <si>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</si>
  <si>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</si>
  <si>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</si>
  <si>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</si>
  <si>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</si>
  <si>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</si>
  <si>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</si>
  <si>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</si>
  <si>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</si>
  <si>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</si>
  <si>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</si>
  <si>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</si>
  <si>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</si>
  <si>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</si>
  <si>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</si>
  <si>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</si>
  <si>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</si>
  <si>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</si>
  <si>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</si>
  <si>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</si>
  <si>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</si>
  <si>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</si>
  <si>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</si>
  <si>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</si>
  <si>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</si>
  <si>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</si>
  <si>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</si>
  <si>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</si>
  <si>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</si>
  <si>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</si>
  <si>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</si>
  <si>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</si>
  <si>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</si>
  <si>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</si>
  <si>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</si>
  <si>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</si>
  <si>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</si>
  <si>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</si>
  <si>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</si>
  <si>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</si>
  <si>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</si>
  <si>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</si>
  <si>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</si>
  <si>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</si>
  <si>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</si>
  <si>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</si>
  <si>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</si>
  <si>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</si>
  <si>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</si>
  <si>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</si>
  <si>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</si>
  <si>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10.3</t>
  </si>
  <si>
    <t>10.4</t>
  </si>
  <si>
    <t>Факт 
(Предложение по корректировке утвержденного плана)</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</si>
  <si>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</si>
  <si>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</si>
  <si>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</si>
  <si>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</si>
  <si>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</si>
  <si>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</si>
  <si>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</si>
  <si>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Предложение по корректировке утвержденного плана 
на 01.01.года X</t>
  </si>
  <si>
    <t>6. …</t>
  </si>
  <si>
    <t>4. …</t>
  </si>
  <si>
    <t>7. …</t>
  </si>
  <si>
    <t>8. …</t>
  </si>
  <si>
    <t>9. …</t>
  </si>
  <si>
    <t>10. …</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</si>
  <si>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</si>
  <si>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</si>
  <si>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</si>
  <si>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</si>
  <si>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</si>
  <si>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</si>
  <si>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</si>
  <si>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</si>
  <si>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</si>
  <si>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</si>
  <si>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</si>
  <si>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</si>
  <si>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</si>
  <si>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</si>
  <si>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</si>
  <si>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</si>
  <si>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</si>
  <si>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</si>
  <si>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</si>
  <si>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</si>
  <si>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</si>
  <si>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</si>
  <si>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</si>
  <si>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</si>
  <si>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</si>
  <si>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</si>
  <si>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</si>
  <si>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</si>
  <si>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</si>
  <si>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</si>
  <si>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</si>
  <si>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</si>
  <si>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</si>
  <si>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</si>
  <si>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</si>
  <si>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</si>
  <si>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</si>
  <si>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</si>
  <si>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</si>
  <si>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</si>
  <si>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</si>
  <si>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</si>
  <si>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</si>
  <si>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</si>
  <si>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</si>
  <si>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</si>
  <si>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</si>
  <si>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</si>
  <si>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</si>
  <si>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</si>
  <si>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</si>
  <si>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</si>
  <si>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</si>
  <si>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</si>
  <si>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</si>
  <si>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</si>
  <si>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</si>
  <si>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</si>
  <si>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</si>
  <si>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</si>
  <si>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</si>
  <si>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</si>
  <si>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</si>
  <si>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</si>
  <si>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</si>
  <si>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</si>
  <si>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</si>
  <si>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</si>
  <si>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</si>
  <si>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</si>
  <si>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</si>
  <si>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</si>
  <si>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</si>
  <si>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</si>
  <si>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</si>
  <si>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</si>
  <si>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</si>
  <si>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</si>
  <si>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</si>
  <si>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</si>
  <si>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</si>
  <si>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</si>
  <si>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</si>
  <si>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</si>
  <si>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</si>
  <si>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</si>
  <si>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</si>
  <si>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</si>
  <si>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1</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</si>
  <si>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</si>
  <si>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</si>
  <si>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</si>
  <si>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</si>
  <si>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</si>
  <si>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</si>
  <si>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</si>
  <si>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</si>
  <si>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</si>
  <si>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</si>
  <si>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</si>
  <si>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</si>
  <si>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</si>
  <si>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</si>
  <si>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</si>
  <si>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</si>
  <si>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</si>
  <si>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</si>
  <si>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</si>
  <si>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</si>
  <si>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</si>
  <si>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</si>
  <si>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</si>
  <si>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</si>
  <si>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</si>
  <si>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</si>
  <si>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</si>
  <si>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</si>
  <si>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</si>
  <si>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</si>
  <si>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</si>
  <si>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</si>
  <si>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</si>
  <si>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</si>
  <si>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</si>
  <si>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</si>
  <si>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</si>
  <si>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</si>
  <si>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</si>
  <si>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</si>
  <si>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</si>
  <si>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</si>
  <si>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</si>
  <si>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</si>
  <si>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</si>
  <si>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</si>
  <si>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</si>
  <si>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</si>
  <si>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</si>
  <si>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</si>
  <si>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</si>
  <si>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</si>
  <si>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</si>
  <si>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</si>
  <si>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</si>
  <si>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</si>
  <si>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</si>
  <si>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</si>
  <si>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</si>
  <si>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</si>
  <si>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</si>
  <si>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</si>
  <si>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</si>
  <si>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</si>
  <si>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</si>
  <si>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</si>
  <si>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</si>
  <si>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</si>
  <si>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</si>
  <si>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</si>
  <si>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</si>
  <si>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</si>
  <si>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</si>
  <si>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</si>
  <si>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</si>
  <si>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</si>
  <si>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</si>
  <si>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</si>
  <si>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</si>
  <si>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</si>
  <si>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</si>
  <si>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</si>
  <si>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</si>
  <si>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</si>
  <si>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</si>
  <si>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</si>
  <si>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</si>
  <si>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</si>
  <si>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</si>
  <si>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</si>
  <si>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</si>
  <si>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</si>
  <si>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</si>
  <si>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</si>
  <si>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</si>
  <si>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</si>
  <si>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</si>
  <si>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</si>
  <si>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</si>
  <si>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</si>
  <si>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</si>
  <si>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</si>
  <si>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</si>
  <si>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</si>
  <si>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</si>
  <si>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</si>
  <si>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</si>
  <si>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</si>
  <si>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</si>
  <si>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</si>
  <si>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</si>
  <si>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</si>
  <si>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</si>
  <si>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</si>
  <si>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</si>
  <si>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</si>
  <si>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</si>
  <si>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</si>
  <si>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</si>
  <si>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</si>
  <si>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</si>
  <si>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</si>
  <si>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</si>
  <si>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</si>
  <si>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</si>
  <si>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</si>
  <si>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</si>
  <si>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</si>
  <si>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</si>
  <si>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</si>
  <si>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</si>
  <si>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</si>
  <si>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</si>
  <si>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</si>
  <si>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</si>
  <si>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</si>
  <si>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</si>
  <si>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</si>
  <si>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</si>
  <si>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</si>
  <si>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</si>
  <si>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</si>
  <si>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План 
на 01.01.года (N-1)</t>
  </si>
  <si>
    <t>План 
на 01.01.года X</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</si>
  <si>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</si>
  <si>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</si>
  <si>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</si>
  <si>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Предложение по корректировке утвержденного плана на 01.01.года X</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</si>
  <si>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</si>
  <si>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</si>
  <si>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Освоение капитальных вложений года (N-1) в прогнозных ценах соответствующих лет, млн рублей (без НДС)</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</si>
  <si>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</si>
  <si>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</si>
  <si>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</si>
  <si>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</si>
  <si>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</si>
  <si>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</si>
  <si>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</si>
  <si>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</si>
  <si>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</si>
  <si>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</si>
  <si>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</si>
  <si>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</si>
  <si>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</si>
  <si>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</si>
  <si>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</si>
  <si>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</si>
  <si>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</si>
  <si>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</si>
  <si>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</si>
  <si>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</si>
  <si>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</si>
  <si>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</si>
  <si>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</si>
  <si>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</si>
  <si>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</si>
  <si>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</si>
  <si>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</si>
  <si>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</si>
  <si>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</si>
  <si>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</si>
  <si>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</si>
  <si>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</si>
  <si>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</si>
  <si>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</si>
  <si>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</si>
  <si>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</si>
  <si>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</si>
  <si>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</si>
  <si>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</si>
  <si>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</si>
  <si>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</si>
  <si>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</si>
  <si>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</si>
  <si>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</si>
  <si>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</si>
  <si>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</si>
  <si>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</si>
  <si>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</si>
  <si>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</si>
  <si>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</si>
  <si>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</si>
  <si>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</si>
  <si>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</si>
  <si>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</si>
  <si>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</si>
  <si>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</si>
  <si>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</si>
  <si>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</si>
  <si>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</si>
  <si>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</si>
  <si>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</si>
  <si>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</si>
  <si>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</si>
  <si>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</si>
  <si>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</si>
  <si>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</si>
  <si>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</si>
  <si>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</si>
  <si>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</si>
  <si>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</si>
  <si>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</si>
  <si>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</si>
  <si>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</si>
  <si>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</si>
  <si>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</si>
  <si>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</si>
  <si>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</si>
  <si>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</si>
  <si>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</si>
  <si>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</si>
  <si>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</si>
  <si>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Ввод объектов инвестиционной деятельности (мощностей) в эксплуатацию в год (N-1)</t>
  </si>
  <si>
    <t>Вывод объектов инвестиционной деятельности (мощностей) из эксплуатации в год (N-1)</t>
  </si>
  <si>
    <t>в базисном уровне цен, млн рублей 
(с НДС)</t>
  </si>
  <si>
    <t>Приложение  № 18</t>
  </si>
  <si>
    <t>Приложение  № 19</t>
  </si>
  <si>
    <t xml:space="preserve">                                                                                                                                                             реквизиты решения органа исполнительной власти, утвердившего инвестиционную программу</t>
  </si>
  <si>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</si>
  <si>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</si>
  <si>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</si>
  <si>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</si>
  <si>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</si>
  <si>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</si>
  <si>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t>Освоение капитальных вложений в прогнозных ценах соответствующих лет, млн рублей  (без НДС)</t>
  </si>
  <si>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</si>
  <si>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</si>
  <si>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</si>
  <si>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</si>
  <si>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</si>
  <si>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</si>
  <si>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</si>
  <si>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</si>
  <si>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</si>
  <si>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</si>
  <si>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</si>
  <si>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</si>
  <si>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</si>
  <si>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</si>
  <si>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</si>
  <si>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</si>
  <si>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</si>
  <si>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</si>
  <si>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</si>
  <si>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</si>
  <si>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</si>
  <si>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</si>
  <si>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</si>
  <si>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</si>
  <si>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</si>
  <si>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</si>
  <si>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</si>
  <si>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</si>
  <si>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</si>
  <si>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</si>
  <si>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</si>
  <si>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</si>
  <si>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</si>
  <si>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</si>
  <si>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</si>
  <si>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</si>
  <si>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</si>
  <si>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</si>
  <si>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</si>
  <si>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</si>
  <si>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</si>
  <si>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</si>
  <si>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</si>
  <si>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</si>
  <si>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</si>
  <si>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</si>
  <si>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</si>
  <si>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</si>
  <si>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</si>
  <si>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</si>
  <si>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</si>
  <si>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</si>
  <si>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</si>
  <si>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</si>
  <si>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</si>
  <si>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</si>
  <si>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</si>
  <si>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</si>
  <si>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</si>
  <si>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</si>
  <si>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</si>
  <si>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</si>
  <si>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</si>
  <si>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</si>
  <si>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</si>
  <si>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</si>
  <si>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</si>
  <si>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</si>
  <si>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</si>
  <si>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</si>
  <si>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</si>
  <si>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</si>
  <si>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</si>
  <si>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</si>
  <si>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</si>
  <si>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</si>
  <si>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</si>
  <si>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</si>
  <si>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</si>
  <si>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</si>
  <si>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</si>
  <si>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</si>
  <si>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</si>
  <si>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</si>
  <si>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</si>
  <si>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</si>
  <si>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</si>
  <si>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</si>
  <si>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</si>
  <si>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</si>
  <si>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</si>
  <si>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</si>
  <si>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</si>
  <si>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</si>
  <si>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</si>
  <si>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</si>
  <si>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</si>
  <si>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</si>
  <si>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</si>
  <si>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</si>
  <si>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</si>
  <si>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</si>
  <si>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</si>
  <si>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</si>
  <si>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</si>
  <si>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</si>
  <si>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</si>
  <si>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</si>
  <si>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</si>
  <si>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</si>
  <si>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</si>
  <si>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</si>
  <si>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</si>
  <si>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</si>
  <si>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</si>
  <si>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</si>
  <si>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</si>
  <si>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</si>
  <si>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</si>
  <si>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</si>
  <si>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</si>
  <si>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</si>
  <si>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</si>
  <si>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</si>
  <si>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</si>
  <si>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</si>
  <si>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</si>
  <si>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</si>
  <si>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</si>
  <si>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</si>
  <si>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</si>
  <si>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</si>
  <si>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</si>
  <si>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</si>
  <si>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</si>
  <si>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</si>
  <si>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</si>
  <si>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</si>
  <si>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</si>
  <si>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</si>
  <si>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</si>
  <si>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</si>
  <si>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</si>
  <si>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</si>
  <si>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</si>
  <si>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</si>
  <si>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</si>
  <si>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</si>
  <si>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</si>
  <si>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</si>
  <si>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</si>
  <si>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</si>
  <si>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</si>
  <si>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</si>
  <si>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</si>
  <si>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______________________________________________________________________________________________________________________________________________________________________________________________________________</t>
  </si>
  <si>
    <t>Перечень показателей энергетической эффективности объектов приведен в соответствии с  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</si>
  <si>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</si>
  <si>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</si>
  <si>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</si>
  <si>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</si>
  <si>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</si>
  <si>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</si>
  <si>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</si>
  <si>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показатель степени загрузки трансформаторной подстанции Кзагр</t>
  </si>
  <si>
    <t>показатель увеличения протяженности линий электропередачи в рамках осуществления технологического присоединения к электрическим сетям, км;</t>
  </si>
  <si>
    <t>показатель замены силовых трансформаторов Рз_тр, МВА</t>
  </si>
  <si>
    <t>показатель замены выключателей Вз</t>
  </si>
  <si>
    <t>показатель увеличения протяженности линий электропередачи, не связанного с осуществлением технологического присоединения к электрическим сетям, км;</t>
  </si>
  <si>
    <t>показатель оценки изменения средней продолжительности прекращения передачи электрической энергии ∆Пsaidi</t>
  </si>
  <si>
    <t>показатель оценки изменения средней частоты прекращения передачи электрической энергии ∆Пsaifi</t>
  </si>
  <si>
    <t xml:space="preserve">План
</t>
  </si>
  <si>
    <t>ВСЕГО по инвестиционной программе, в том числе:</t>
  </si>
  <si>
    <t>Технологическое присоединение, всего</t>
  </si>
  <si>
    <t>Реконструкция, модернизация, техническое перевооружение, всего</t>
  </si>
  <si>
    <t>Инвестиционные проекты, реализация которых обуславливается схемами и программами перспективного развития электроэнергетики, всего</t>
  </si>
  <si>
    <t>Прочее новое строительство объектов электросетевого хозяйства, всего</t>
  </si>
  <si>
    <t>Покупка земельных участков для целей реализации инвестиционных проектов, всего</t>
  </si>
  <si>
    <t>Прочие инвестиционные проекты, всего</t>
  </si>
  <si>
    <t>Приморский край</t>
  </si>
  <si>
    <t>Технологическое присоединение,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</si>
  <si>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</si>
  <si>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</si>
  <si>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</si>
  <si>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</si>
  <si>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</si>
  <si>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</si>
  <si>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</si>
  <si>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</si>
  <si>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«Включение приборов учета в систему сбора и передачи данных, класс напряжения 0,22 (0,4) кВ, всего, в том числе:»</t>
  </si>
  <si>
    <t>«Включение приборов учета в систему сбора и передачи данных, класс напряжения 6 (10) кВ, всего, в том числе:»</t>
  </si>
  <si>
    <t>«Включение приборов учета в систему сбора и передачи данных, класс напряжения 35 кВ, всего, в том числе:»</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</si>
  <si>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</si>
  <si>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</si>
  <si>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</si>
  <si>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</si>
  <si>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</si>
  <si>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 всего, в том числе:</t>
  </si>
  <si>
    <t>Инвестиционные проекты, предусмотренные схемой и программой развития субъекта Российской Федерации, всего, в том числе:</t>
  </si>
  <si>
    <t>0</t>
  </si>
  <si>
    <t>0.1</t>
  </si>
  <si>
    <t>0.2</t>
  </si>
  <si>
    <t>0.3</t>
  </si>
  <si>
    <t>0.4</t>
  </si>
  <si>
    <t>0.5</t>
  </si>
  <si>
    <t>0.6</t>
  </si>
  <si>
    <t>1.2.3.5</t>
  </si>
  <si>
    <t>1.2.3.6</t>
  </si>
  <si>
    <t>1.2.3.7</t>
  </si>
  <si>
    <t>1.2.3.8</t>
  </si>
  <si>
    <t>1.3</t>
  </si>
  <si>
    <t>1.3.1</t>
  </si>
  <si>
    <t>1.3.2</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</si>
  <si>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</si>
  <si>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</si>
  <si>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</si>
  <si>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</si>
  <si>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</si>
  <si>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</si>
  <si>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</si>
  <si>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</si>
  <si>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</si>
  <si>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</si>
  <si>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</si>
  <si>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</si>
  <si>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Модернизация, техническое перевооружение трансформаторных и иных подстанций, распределительных пунктов,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</si>
  <si>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</si>
  <si>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</si>
  <si>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</si>
  <si>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1.6</t>
  </si>
  <si>
    <t>1.4</t>
  </si>
  <si>
    <t>1.5</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</si>
  <si>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</si>
  <si>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трансформаторных и иных подстанций, распределительных пунктов, всего, в том числе:</t>
  </si>
  <si>
    <t>Реконструкция линий электропередачи всего, в том числе:</t>
  </si>
  <si>
    <t xml:space="preserve">2020 год </t>
  </si>
  <si>
    <t xml:space="preserve">2021 год </t>
  </si>
  <si>
    <t xml:space="preserve">2022 год </t>
  </si>
  <si>
    <t xml:space="preserve">2023 год </t>
  </si>
  <si>
    <t xml:space="preserve">2024 год </t>
  </si>
  <si>
    <t xml:space="preserve">Фактический объем освоения капитальных вложений на 01.01.19 года 
, млн рублей 
(без НДС) </t>
  </si>
  <si>
    <t xml:space="preserve">План на 01.01.2019 года </t>
  </si>
  <si>
    <t>План на 2020 год</t>
  </si>
  <si>
    <t>План на 2021 год</t>
  </si>
  <si>
    <t>План на 2022 год</t>
  </si>
  <si>
    <t>План на 2023 год</t>
  </si>
  <si>
    <t>План на 2024 год</t>
  </si>
  <si>
    <t>2020 год</t>
  </si>
  <si>
    <t>2021 год</t>
  </si>
  <si>
    <t>2022 год</t>
  </si>
  <si>
    <t>2023 год</t>
  </si>
  <si>
    <t>2024 год</t>
  </si>
  <si>
    <t>План  принятия основных средств и нематериальных активов к бухгалтерскому учету на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</si>
  <si>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</si>
  <si>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 xml:space="preserve"> 2020 год</t>
  </si>
  <si>
    <t xml:space="preserve"> 2021 год</t>
  </si>
  <si>
    <t xml:space="preserve"> 2022 год</t>
  </si>
  <si>
    <t xml:space="preserve"> 2023 год</t>
  </si>
  <si>
    <t xml:space="preserve"> 2024 год</t>
  </si>
  <si>
    <t>6.7.1</t>
  </si>
  <si>
    <t>6.7.2</t>
  </si>
  <si>
    <t>6.7.3</t>
  </si>
  <si>
    <t>6.7.4</t>
  </si>
  <si>
    <t>6.7.5</t>
  </si>
  <si>
    <t>6.7.6</t>
  </si>
  <si>
    <t>6.7.7</t>
  </si>
  <si>
    <t>6.8.1</t>
  </si>
  <si>
    <t>6.8.2</t>
  </si>
  <si>
    <t>6.8.3</t>
  </si>
  <si>
    <t>6.8.4</t>
  </si>
  <si>
    <t>6.8.5</t>
  </si>
  <si>
    <t>6.8.6</t>
  </si>
  <si>
    <t>6.8.7</t>
  </si>
  <si>
    <t>6.9.1</t>
  </si>
  <si>
    <t>6.9.2</t>
  </si>
  <si>
    <t>6.9.3</t>
  </si>
  <si>
    <t>6.9.4</t>
  </si>
  <si>
    <t>6.9.5</t>
  </si>
  <si>
    <t>6.9.6</t>
  </si>
  <si>
    <t>6.9.7</t>
  </si>
  <si>
    <t>5.7.1</t>
  </si>
  <si>
    <t>5.7.2</t>
  </si>
  <si>
    <t>5.7.3</t>
  </si>
  <si>
    <t>5.7.4</t>
  </si>
  <si>
    <t>5.7.5</t>
  </si>
  <si>
    <t>5.7.6</t>
  </si>
  <si>
    <t>5.8.1</t>
  </si>
  <si>
    <t>5.8.2</t>
  </si>
  <si>
    <t>5.8.3</t>
  </si>
  <si>
    <t>5.8.4</t>
  </si>
  <si>
    <t>5.8.5</t>
  </si>
  <si>
    <t>5.8.6</t>
  </si>
  <si>
    <t>5.9.1</t>
  </si>
  <si>
    <t>5.9.2</t>
  </si>
  <si>
    <t>5.9.3</t>
  </si>
  <si>
    <t>5.9.4</t>
  </si>
  <si>
    <t>5.9.5</t>
  </si>
  <si>
    <t>5.9.6</t>
  </si>
  <si>
    <t>Инвестиционная программа МУП г. Владивостока "Владивостокское предприятие электрических сетей"</t>
  </si>
  <si>
    <t>Наименование  субъекта Российской Федерации Приморский край</t>
  </si>
  <si>
    <t>5.6</t>
  </si>
  <si>
    <t>1.2.2.1.2</t>
  </si>
  <si>
    <t>1.2.2.1.1</t>
  </si>
  <si>
    <t>Прокладка КЛ-6кВ от РП-3 в районе ул. Космонавтов, 3 до ТП-2800 в районе ул. Пацаева, 7</t>
  </si>
  <si>
    <t>Прокладка КЛ-6кВ ф.11, 33 от ПС "Промузел" до ТП-4200 в районе 2-я Шоссейная, 5, от ТП-4200 в районе 2-я Шоссейная, 5 до РП-53 в районе ул. Пригородная, 5</t>
  </si>
  <si>
    <t>1.2.2.1.3</t>
  </si>
  <si>
    <t>Прокладка КЛ-6кВ от РТП-59 в районе ул. Шошина, 19в до ТП-1917 в районе ул. Днепровская, 27</t>
  </si>
  <si>
    <t>1.2.2.1.4</t>
  </si>
  <si>
    <t>1.2.2.1.5</t>
  </si>
  <si>
    <t>Прокладка КЛ-6кВ от ПС "З" ф-14 до РП-6 в районе ул. Горная, 31</t>
  </si>
  <si>
    <t>2020-2024</t>
  </si>
  <si>
    <t>П</t>
  </si>
  <si>
    <t>амортизационные отчисления</t>
  </si>
  <si>
    <t>IV</t>
  </si>
  <si>
    <t>Дальневосточный федеральный округ</t>
  </si>
  <si>
    <t>Владивостокский городской округ</t>
  </si>
  <si>
    <t>нт</t>
  </si>
  <si>
    <t>не относится</t>
  </si>
  <si>
    <t>-</t>
  </si>
  <si>
    <t>не требуется</t>
  </si>
  <si>
    <t>+</t>
  </si>
  <si>
    <t>Развитие электрической сети и (или) усиление существующей электрической сети, связанное с подключением новых потребителей</t>
  </si>
  <si>
    <t>КЛ-6кВ от РП-3 до ТП-2800</t>
  </si>
  <si>
    <t>КЛ-6кВ ф.11, 33 от ПС "Промузел" до ТП-4200, от ТП-4200 до РП-53</t>
  </si>
  <si>
    <t>КЛ-6кВ от РТП-59 до ТП-1917</t>
  </si>
  <si>
    <t>КЛ-6кВ от ПС "З" ф-14 до РП-6</t>
  </si>
  <si>
    <t xml:space="preserve">Приказ Минэнерго России от 08.02.2016 г № 75, сметные расчеты </t>
  </si>
  <si>
    <t>ЛЭП-6кВ, км</t>
  </si>
  <si>
    <t xml:space="preserve">нд </t>
  </si>
  <si>
    <t xml:space="preserve">Директор МУПВ "ВПЭС" </t>
  </si>
  <si>
    <r>
      <t xml:space="preserve">Инвестиционная программа </t>
    </r>
    <r>
      <rPr>
        <u/>
        <sz val="16"/>
        <color theme="1"/>
        <rFont val="Times New Roman"/>
        <family val="1"/>
        <charset val="204"/>
      </rPr>
      <t>МУП г. Владивостока "Владивостокское предприятие электрических сетей"</t>
    </r>
  </si>
  <si>
    <r>
      <t xml:space="preserve">показатель увеличения мощности силовых трансформаторов </t>
    </r>
    <r>
      <rPr>
        <sz val="16"/>
        <color theme="1"/>
        <rFont val="Calibri"/>
        <family val="2"/>
        <charset val="204"/>
      </rPr>
      <t>∆</t>
    </r>
    <r>
      <rPr>
        <sz val="16"/>
        <color theme="1"/>
        <rFont val="Times New Roman"/>
        <family val="1"/>
        <charset val="204"/>
      </rPr>
      <t>Ртр, МВА</t>
    </r>
  </si>
  <si>
    <r>
      <t>Полная сметная стоимость инвестиционного проекта в соответствии с утвержденной проектной документацией</t>
    </r>
    <r>
      <rPr>
        <vertAlign val="superscript"/>
        <sz val="16"/>
        <rFont val="Times New Roman"/>
        <family val="1"/>
        <charset val="204"/>
      </rPr>
      <t xml:space="preserve"> </t>
    </r>
    <r>
      <rPr>
        <sz val="16"/>
        <rFont val="Times New Roman"/>
        <family val="1"/>
        <charset val="204"/>
      </rPr>
      <t>в базисном уровне цен, млн рублей (без НДС)</t>
    </r>
  </si>
  <si>
    <r>
      <t xml:space="preserve"> на год </t>
    </r>
    <r>
      <rPr>
        <b/>
        <u/>
        <sz val="16"/>
        <color theme="1"/>
        <rFont val="Times New Roman"/>
        <family val="1"/>
        <charset val="204"/>
      </rPr>
      <t>2020 год</t>
    </r>
  </si>
  <si>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6"/>
        <rFont val="Times New Roman"/>
        <family val="1"/>
        <charset val="204"/>
      </rPr>
      <t>1)</t>
    </r>
    <r>
      <rPr>
        <sz val="16"/>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</si>
  <si>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6"/>
        <rFont val="Times New Roman"/>
        <family val="1"/>
        <charset val="204"/>
      </rPr>
      <t xml:space="preserve">1) </t>
    </r>
    <r>
      <rPr>
        <sz val="16"/>
        <rFont val="Times New Roman"/>
        <family val="1"/>
        <charset val="204"/>
      </rPr>
      <t>(схема теплоснабжения поселения (городского округа), утвержденная органом местного самоуправления)</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</si>
  <si>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6"/>
        <rFont val="Times New Roman"/>
        <family val="1"/>
        <charset val="204"/>
      </rPr>
      <t>1)</t>
    </r>
    <r>
      <rPr>
        <sz val="16"/>
        <rFont val="Times New Roman"/>
        <family val="1"/>
        <charset val="204"/>
      </rPr>
      <t xml:space="preserve"> 
(схемой теплоснабжения поселения (городского округа), утвержденной органом местного самоуправления), год</t>
    </r>
  </si>
  <si>
    <r>
      <rPr>
        <vertAlign val="superscript"/>
        <sz val="16"/>
        <rFont val="Times New Roman"/>
        <family val="1"/>
        <charset val="204"/>
      </rPr>
      <t>1)</t>
    </r>
    <r>
      <rPr>
        <sz val="16"/>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</si>
  <si>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Продолжение       Форма 2. План финансирования капитальных вложений по инвестиционным проектам</t>
  </si>
  <si>
    <t>Продолжение    Форма 3. План освоения капитальных вложений по инвестиционным проектам</t>
  </si>
  <si>
    <t>Продолжение    Форма 4. План ввода основных средств</t>
  </si>
  <si>
    <r>
      <t xml:space="preserve">Инвестиционная программа </t>
    </r>
    <r>
      <rPr>
        <u/>
        <sz val="24"/>
        <color theme="1"/>
        <rFont val="Times New Roman"/>
        <family val="1"/>
        <charset val="204"/>
      </rPr>
      <t>МУП г. Владивостока "Владивостокское предприятие электрических сетей"</t>
    </r>
  </si>
  <si>
    <t>Показатель уровня качества осуществляемого технологического присоединения (Птпр)</t>
  </si>
  <si>
    <t xml:space="preserve">Показатель средней продолжительности прекращений передачи электрической энергии наточку поставки (Пsaidi), час.
</t>
  </si>
  <si>
    <t>Показатель средней частоты прекращений передачи электрической энергии на точку поставки (Пsaifi), шт.</t>
  </si>
  <si>
    <t>час</t>
  </si>
  <si>
    <t>шт</t>
  </si>
  <si>
    <t>Прокладка КЛ-6кВ от т.в. В сторону ПС "Голдобин" до РТП-21 в районе ул. Зои Космодемьянской, 7</t>
  </si>
  <si>
    <t>Замена ТП-2842 на КТПН</t>
  </si>
  <si>
    <t>Замена ТП-4389 на КТПН</t>
  </si>
  <si>
    <t>Замена МВ на ВВ с установкой телемеханики в РТП-8 и РТП-26</t>
  </si>
  <si>
    <t>1.2.2.1.6</t>
  </si>
  <si>
    <t>1.2.2.1.7</t>
  </si>
  <si>
    <t>Прокладка КЛ-6кВ Ф.4, 21 от ПС "Голубинка" до ТП-309в районе ул. Толстого и от РТП-29 в районе пр-та Красного Знамени, 114 до ТП-345 в районе ул. Шилкинская, 21</t>
  </si>
  <si>
    <t>Замена ТП-2870 на КТПН</t>
  </si>
  <si>
    <t>Замена МВ на ВВ с установкой телемеханики в РТП-17, РП-52 и РТП-13</t>
  </si>
  <si>
    <t>1.2.2.1.8</t>
  </si>
  <si>
    <t>1.2.2.1.9</t>
  </si>
  <si>
    <t>Прокладка КЛ-6кВ от ПС "Сахарный ключ" ф.2 до ТП-4755 в районе ул. Находкинская, 1 и от ТП-4755 до ТП-4739 в районе ул. Находкинская, 1</t>
  </si>
  <si>
    <t>Замена ТП-2881 на КТПН</t>
  </si>
  <si>
    <t>Замена ТП-2899 на КТПН</t>
  </si>
  <si>
    <t>Замена МВ на ВВ с установкой телеметрии в ТП-10, РТП-23, РП-19</t>
  </si>
  <si>
    <t>1.2.2.1.10</t>
  </si>
  <si>
    <t>1.2.2.1.11</t>
  </si>
  <si>
    <t>Прокладка КЛ-6кВ от ПС "Промузел" до ТП-4350, от ТП-4350 до РТП-26, от РТП-26 до ТП-4301, от ТП-4301 до ТП-4302, от ТП-4302 до ТП-43033, от ТП-4303 до ТП-4304, от ТП-4304 до ТП-4305, от ТП-4305 до ТП-4306, от ТП-4306 до РТП-26, от РТП-26 до ТП-4308, от ТП-4308 до ТП-4307</t>
  </si>
  <si>
    <t>Замена трансформаторов в ТП-2859</t>
  </si>
  <si>
    <t>Замена трансформаторов в ТП-305</t>
  </si>
  <si>
    <t>Замена трансформаторов в ТП-1607</t>
  </si>
  <si>
    <t>Замена трансформаторов в ТП-4003</t>
  </si>
  <si>
    <t>Замена трансформаторов в ТП-4302</t>
  </si>
  <si>
    <t>Замена трансформаторов в ТП-4718</t>
  </si>
  <si>
    <t>Замена трансформаторов в ТП-2714</t>
  </si>
  <si>
    <t>1.2.2.1.12</t>
  </si>
  <si>
    <t>1.2.4.2.1</t>
  </si>
  <si>
    <t>1.2.4.2.2</t>
  </si>
  <si>
    <t>1.2.4.2.3</t>
  </si>
  <si>
    <t>1.2.4.2.4</t>
  </si>
  <si>
    <t>1.2.4.2.5</t>
  </si>
  <si>
    <t>1.2.4.2.6</t>
  </si>
  <si>
    <t>1.2.4.2.7</t>
  </si>
  <si>
    <t>1.2.4.2.8</t>
  </si>
  <si>
    <t>1.2.4.2.9</t>
  </si>
  <si>
    <t>1.2.4.2.10</t>
  </si>
  <si>
    <t>1.2.4.2.11</t>
  </si>
  <si>
    <t>1.2.4.2.12</t>
  </si>
  <si>
    <t>1.2.4.2.13</t>
  </si>
  <si>
    <t>1.2.4.2.14</t>
  </si>
  <si>
    <t>1.2.4.2.15</t>
  </si>
  <si>
    <t>1.2.4.2.16</t>
  </si>
  <si>
    <t>Прокладка КЛ-6кВ от ПС "Бурун" Ф-10, 29 до РТП-48</t>
  </si>
  <si>
    <t>Замена МВ на ВВ с установкой телеметрии в ТП-41, РТП-11, РП-7</t>
  </si>
  <si>
    <t>Прокладка КЛ-6кВ Ф.4, 21 от ПС "Голубинка" до ТП-309 в районе ул. Толстого и от РТП-29 в районе пр-та Красного Знамени, 114 до ТП-345 в районе ул. Шилкинская, 21</t>
  </si>
  <si>
    <t>КЛ-6кВ от т.в. В сторону ПС"Голдобин" до РТП-21</t>
  </si>
  <si>
    <t>КЛ-6кВ от ПС "Голубинка ф-4,21 до ТП-309, от РТП-29 до ТП-345</t>
  </si>
  <si>
    <t>КЛ-6кВ от РТП-17 до ПС "2Р" ф-206</t>
  </si>
  <si>
    <t>КЛ-6кВ от ПС "Сахарный ключ" до ТП-4755, от ТП-4755 до ТП-4739</t>
  </si>
  <si>
    <t>КЛ-6кВ от ПС "Промузел" до ТП-4350, от ТП-4350 до РТП-26, от РТП-26 до ТП-4301, от ТП-4301 до ТП-4302, от ТП-4302 до ТП-43033, от ТП-4303 до ТП-4304, от ТП-4304 до ТП-4305, от ТП-4305 до ТП-4306, от ТП-4306 до РТП-26, от РТП-26 до ТП-4308, от ТП-4308 до ТП-4307</t>
  </si>
  <si>
    <t>КЛ-6кВ от ПС "Промузел" Ф-35 до ТП-4210, от ТП-4210 до ТП-4634</t>
  </si>
  <si>
    <t>КЛ-6кВ от ПС "Бурун" Ф-10, 29 до РТП-48</t>
  </si>
  <si>
    <t>Мощность, МВА</t>
  </si>
  <si>
    <t>Другое, шт</t>
  </si>
  <si>
    <t>16.3.1</t>
  </si>
  <si>
    <t>16.3.2</t>
  </si>
  <si>
    <t>Прокладка КЛ-6кВ от РТП-17 до ПС "2Р" ф-105,206 в районе ул. Днепровская, 22</t>
  </si>
  <si>
    <t>Замена МВ на ВВ с установкой телемеханики в РТП-17, замена сексционного выключателя в РП-52 и РТП-13</t>
  </si>
  <si>
    <t>Замена МВ на ВВ с установкой телеметрии в РП-4, РТП-14, РТП-36</t>
  </si>
  <si>
    <t>1.2.4.2.20</t>
  </si>
  <si>
    <t>1.2.4.2.17</t>
  </si>
  <si>
    <t>1.2.4.2.18</t>
  </si>
  <si>
    <t>1.2.4.2.19</t>
  </si>
  <si>
    <t>1.2.4.2.21</t>
  </si>
  <si>
    <t>1.2.4.2.22</t>
  </si>
  <si>
    <t>1.2.4.2.23</t>
  </si>
  <si>
    <r>
      <t xml:space="preserve"> на год </t>
    </r>
    <r>
      <rPr>
        <b/>
        <u/>
        <sz val="18"/>
        <color theme="1"/>
        <rFont val="Times New Roman"/>
        <family val="1"/>
        <charset val="204"/>
      </rPr>
      <t>2021</t>
    </r>
  </si>
  <si>
    <r>
      <t xml:space="preserve">Инвестиционная программа </t>
    </r>
    <r>
      <rPr>
        <u/>
        <sz val="18"/>
        <color theme="1"/>
        <rFont val="Times New Roman"/>
        <family val="1"/>
        <charset val="204"/>
      </rPr>
      <t>МУП г. Владивостока "Владивостокское предприятие электрических сетей"</t>
    </r>
  </si>
  <si>
    <r>
      <t xml:space="preserve">показатель увеличения мощности силовых трансформаторов </t>
    </r>
    <r>
      <rPr>
        <sz val="18"/>
        <color theme="1"/>
        <rFont val="Calibri"/>
        <family val="2"/>
        <charset val="204"/>
      </rPr>
      <t>∆</t>
    </r>
    <r>
      <rPr>
        <sz val="18"/>
        <color theme="1"/>
        <rFont val="Times New Roman"/>
        <family val="1"/>
        <charset val="204"/>
      </rPr>
      <t>Ртр, МВА</t>
    </r>
  </si>
  <si>
    <r>
      <t xml:space="preserve"> на год </t>
    </r>
    <r>
      <rPr>
        <b/>
        <u/>
        <sz val="18"/>
        <color theme="1"/>
        <rFont val="Times New Roman"/>
        <family val="1"/>
        <charset val="204"/>
      </rPr>
      <t>2022</t>
    </r>
  </si>
  <si>
    <r>
      <t xml:space="preserve"> на год </t>
    </r>
    <r>
      <rPr>
        <b/>
        <u/>
        <sz val="18"/>
        <color theme="1"/>
        <rFont val="Times New Roman"/>
        <family val="1"/>
        <charset val="204"/>
      </rPr>
      <t>2023</t>
    </r>
  </si>
  <si>
    <r>
      <t xml:space="preserve"> на год </t>
    </r>
    <r>
      <rPr>
        <b/>
        <u/>
        <sz val="18"/>
        <color theme="1"/>
        <rFont val="Times New Roman"/>
        <family val="1"/>
        <charset val="204"/>
      </rPr>
      <t>2024</t>
    </r>
  </si>
  <si>
    <r>
      <t xml:space="preserve"> на год </t>
    </r>
    <r>
      <rPr>
        <b/>
        <u/>
        <sz val="24"/>
        <color theme="1"/>
        <rFont val="Times New Roman"/>
        <family val="1"/>
        <charset val="204"/>
      </rPr>
      <t>2020</t>
    </r>
  </si>
  <si>
    <r>
      <t xml:space="preserve">Инвестиционная программа </t>
    </r>
    <r>
      <rPr>
        <u/>
        <sz val="28"/>
        <color theme="1"/>
        <rFont val="Times New Roman"/>
        <family val="1"/>
        <charset val="204"/>
      </rPr>
      <t>МУП г. Владивостока "Владивостокское предприятие электрических сетей"</t>
    </r>
  </si>
  <si>
    <t xml:space="preserve">
Предложение по корректировке утвержденного плана</t>
  </si>
  <si>
    <t>Прокладка КЛ-6кВ от ПС "Промузел" Ф-15, Ф-35 до ТП-4210 в районе ул. Рыбацкая, 48, от ТП-4210 до ТП-4208 в районе ул. 3-я Пригородная, 2, от ТП-4208 до ТП-4213 в районе ул. Рыбацкая, 2</t>
  </si>
  <si>
    <t>КЛ-6кВ от ПС "Промузел" ф-15, Ф-35 до ТП-4210, от ТП-4210 до ТП-4208, от ТП-4208 до ТП-4213</t>
  </si>
  <si>
    <r>
      <t>Год раскрытия информации:</t>
    </r>
    <r>
      <rPr>
        <u/>
        <sz val="24"/>
        <color theme="1"/>
        <rFont val="Times New Roman"/>
        <family val="1"/>
        <charset val="204"/>
      </rPr>
      <t xml:space="preserve"> 2020 год</t>
    </r>
  </si>
  <si>
    <r>
      <t>Год раскрытия информации:</t>
    </r>
    <r>
      <rPr>
        <u/>
        <sz val="28"/>
        <color theme="1"/>
        <rFont val="Times New Roman"/>
        <family val="1"/>
        <charset val="204"/>
      </rPr>
      <t xml:space="preserve"> 2020 год</t>
    </r>
  </si>
  <si>
    <r>
      <t>Год раскрытия информации:</t>
    </r>
    <r>
      <rPr>
        <u/>
        <sz val="16"/>
        <color theme="1"/>
        <rFont val="Times New Roman"/>
        <family val="1"/>
        <charset val="204"/>
      </rPr>
      <t xml:space="preserve"> 2020 год</t>
    </r>
  </si>
  <si>
    <t>,</t>
  </si>
  <si>
    <t>Утвержденные плановые значения показателей приведены в соответствии с  Приказом Департамента энергетики Приморского края №45пр-129 от 25.10.2019 г.</t>
  </si>
  <si>
    <r>
      <t xml:space="preserve">Утвержденные плановые значения показателей приведены в соответствии с </t>
    </r>
    <r>
      <rPr>
        <u/>
        <sz val="18"/>
        <rFont val="Times New Roman"/>
        <family val="1"/>
        <charset val="204"/>
      </rPr>
      <t xml:space="preserve"> Приказом  Департамента энергетики Приморского края №45пр-129 от 25.10.2019 г.</t>
    </r>
  </si>
  <si>
    <t>Утвержденные плановые значения показателей приведены в соответствии с  Приказом  Департамента энергетики Приморского края №45пр-129 от 25.10.2019 г.</t>
  </si>
  <si>
    <r>
      <t xml:space="preserve">Утвержденные плановые значения показателей приведены в соответствии с  </t>
    </r>
    <r>
      <rPr>
        <u/>
        <sz val="16"/>
        <rFont val="Times New Roman"/>
        <family val="1"/>
        <charset val="204"/>
      </rPr>
      <t>Приказом Департамента энергетики Приморского края №45пр-129 от 25.10.2019 г.</t>
    </r>
  </si>
  <si>
    <t>Утвержденные плановые значения показателей приведены в соответствии с Приказом Департамента энергетики Приморского края №45пр-129 от 25.10.2019 г.</t>
  </si>
  <si>
    <t>Год раскрытия информации: 2020 год</t>
  </si>
  <si>
    <t>Год раскрытия информации: 2020  год</t>
  </si>
  <si>
    <t>1.2.3.1.1</t>
  </si>
  <si>
    <t>Установка приборов учета, класс напряжения 0,22 (0,4) кВ</t>
  </si>
  <si>
    <t>Принятие основных средств и нематериальных активов к бухгалтерскому учету в год (2019 г)</t>
  </si>
  <si>
    <t>2021-2024</t>
  </si>
  <si>
    <t>2021-2023</t>
  </si>
  <si>
    <t xml:space="preserve">Снижение коммерческих потерь электроэнергии </t>
  </si>
  <si>
    <t xml:space="preserve">Система интеллектуального учета расходования электрической энергии потребителей </t>
  </si>
  <si>
    <t>Коммерческое предложение</t>
  </si>
  <si>
    <t>Приложение № 8</t>
  </si>
  <si>
    <t>Плановые показатели реализации инвестиционной программы</t>
  </si>
  <si>
    <t>Раздел 3. Источники финансирования инвестиционной программы</t>
  </si>
  <si>
    <t>МУП г. Владивостока "Владивостокское предприятие электрических сетей"</t>
  </si>
  <si>
    <t>полное наименование субъекта электроэнергетики</t>
  </si>
  <si>
    <t>наименование субъекта Российской Федерации</t>
  </si>
  <si>
    <t>Показатель</t>
  </si>
  <si>
    <t>Ед. изм.</t>
  </si>
  <si>
    <t>2020 Год (Х)</t>
  </si>
  <si>
    <t>2021Год (Х+1)</t>
  </si>
  <si>
    <t>2022 Год (Х+2)</t>
  </si>
  <si>
    <t>2023 Год (Х+3)</t>
  </si>
  <si>
    <t>2024 Год (Х+4)</t>
  </si>
  <si>
    <t>Утвержденный план</t>
  </si>
  <si>
    <t>Источники финансирования инвестиционной программы всего (I+II), в том числе:</t>
  </si>
  <si>
    <t>млн рублей</t>
  </si>
  <si>
    <t>I</t>
  </si>
  <si>
    <t>Собственные средства всего, в том числе</t>
  </si>
  <si>
    <t>Прибыль, направляемая на инвестиции, в том числе:</t>
  </si>
  <si>
    <t xml:space="preserve">инвестиционная составляющая в тарифах </t>
  </si>
  <si>
    <t xml:space="preserve">производство электрической энергии (мощности) </t>
  </si>
  <si>
    <t>передача электрической энергии</t>
  </si>
  <si>
    <t>реализация электрической энергии (мощности)</t>
  </si>
  <si>
    <t>производство тепловой энергии (мощности)</t>
  </si>
  <si>
    <t>1.1.1.5</t>
  </si>
  <si>
    <t xml:space="preserve">передача тепловой энергии </t>
  </si>
  <si>
    <t>1.1.1.6</t>
  </si>
  <si>
    <t>реализация тепловой энергии (мощности)</t>
  </si>
  <si>
    <t>1.1.1.7</t>
  </si>
  <si>
    <t>от оказания услуг по оперативно-диспетчерскому управлению в электроэнергетике, всего в том числе</t>
  </si>
  <si>
    <t>1.1.1.7.1</t>
  </si>
  <si>
    <t xml:space="preserve">в части управления технологическими режимами </t>
  </si>
  <si>
    <t>1.1.1.7.2</t>
  </si>
  <si>
    <t>в части обеспечения надежности</t>
  </si>
  <si>
    <t>прибыль со свободного сектора</t>
  </si>
  <si>
    <t>от технологического присоединения, в том числе</t>
  </si>
  <si>
    <t>от технологического присоединения генерации</t>
  </si>
  <si>
    <t>1.1.3.1.а</t>
  </si>
  <si>
    <t>авансовое использование прибыли</t>
  </si>
  <si>
    <t>от технологического присоединения потребителей</t>
  </si>
  <si>
    <t>1.1.3.2.а</t>
  </si>
  <si>
    <t>Прочая прибыль</t>
  </si>
  <si>
    <t>Амортизация всего, в том числе</t>
  </si>
  <si>
    <t xml:space="preserve">амортизация, учтенная в тарифах </t>
  </si>
  <si>
    <t>1.2.1.5</t>
  </si>
  <si>
    <t>1.2.1.6</t>
  </si>
  <si>
    <t>1.2.1.7</t>
  </si>
  <si>
    <t>1.2.1.7.1</t>
  </si>
  <si>
    <t>1.2.1.7.2</t>
  </si>
  <si>
    <t>прочая амортизация</t>
  </si>
  <si>
    <t>недоиспользованная амортизация прошлых лет</t>
  </si>
  <si>
    <t>1.2.3.7.1</t>
  </si>
  <si>
    <t>1.2.3.7.2</t>
  </si>
  <si>
    <t>Возврат НДС</t>
  </si>
  <si>
    <t xml:space="preserve">Прочие собственные средства всего, в том числе: </t>
  </si>
  <si>
    <t>1.4.1</t>
  </si>
  <si>
    <t>средства допэмиссии</t>
  </si>
  <si>
    <t>1.4.2</t>
  </si>
  <si>
    <t>остаток собственных средств на начало года</t>
  </si>
  <si>
    <t>II</t>
  </si>
  <si>
    <t>Привлеченные средства всего, в том числе:</t>
  </si>
  <si>
    <t>2.1</t>
  </si>
  <si>
    <t>Кредиты</t>
  </si>
  <si>
    <t>2.2</t>
  </si>
  <si>
    <t>Облигационные займы</t>
  </si>
  <si>
    <t>2.3</t>
  </si>
  <si>
    <t>Векселя</t>
  </si>
  <si>
    <t>2.4</t>
  </si>
  <si>
    <t>Займы организаций</t>
  </si>
  <si>
    <t>2.5</t>
  </si>
  <si>
    <t>Бюджетное финансирование</t>
  </si>
  <si>
    <t>2.5.1</t>
  </si>
  <si>
    <t>средства федерального бюджета</t>
  </si>
  <si>
    <t>2.5.2</t>
  </si>
  <si>
    <t>в том числе средства федерального бюджета, недоиспользованные в прошлых периодах</t>
  </si>
  <si>
    <t>2.5.3</t>
  </si>
  <si>
    <t xml:space="preserve">средства регионального и местных бюджетов </t>
  </si>
  <si>
    <t>2.5.4</t>
  </si>
  <si>
    <t>в том числе средства регионального и местных бюджетов, недоиспользованные в прошлых периодах</t>
  </si>
  <si>
    <t>2.6</t>
  </si>
  <si>
    <t>Средства инвесторов</t>
  </si>
  <si>
    <t>2.7</t>
  </si>
  <si>
    <t>Использование лизинга</t>
  </si>
  <si>
    <t>2.8</t>
  </si>
  <si>
    <t>Прочие привлеченные средства</t>
  </si>
  <si>
    <t>С.А. Морева</t>
  </si>
  <si>
    <t xml:space="preserve">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шт.  </t>
  </si>
  <si>
    <t>Прокладка КЛ-6кВ ПС «Промузел» Ф-35 от ТП-4210 в районе ул. Рыбацкая, 48 до ТП-4634 в районе ул. 1-я Пригородная, 9</t>
  </si>
  <si>
    <t>Начальник отдела ПЭО ФЭУ</t>
  </si>
  <si>
    <t>J_2020_1.2.2.1.1</t>
  </si>
  <si>
    <t>J_2020_1.2.2.1.2</t>
  </si>
  <si>
    <t>J_2020_1.2.2.1.3</t>
  </si>
  <si>
    <t>J_2021_1.2.2.1.4</t>
  </si>
  <si>
    <t>J_2021_1.2.2.1.5</t>
  </si>
  <si>
    <t>J_2021_1.2.2.1.6</t>
  </si>
  <si>
    <t>J_2022_1.2.2.1.7</t>
  </si>
  <si>
    <t>J_2022_1.2.2.1.8</t>
  </si>
  <si>
    <t>J_2023_1.2.2.1.9</t>
  </si>
  <si>
    <t>J_2024_1.2.2.1.10</t>
  </si>
  <si>
    <t>J_2024_1.2.2.1.11</t>
  </si>
  <si>
    <t>J_2024_1.2.2.1.12</t>
  </si>
  <si>
    <t>J_2021_1.2.3.1.1</t>
  </si>
  <si>
    <t>J_2020_1.2.4.2.1</t>
  </si>
  <si>
    <t>J_2020_1.2.4.2.2</t>
  </si>
  <si>
    <t>J_2020_1.2.4.2.3</t>
  </si>
  <si>
    <t>J_2021_1.2.4.2.4</t>
  </si>
  <si>
    <t>J_2021_1.2.4.2.5</t>
  </si>
  <si>
    <t>J_2022_1.2.4.2.6</t>
  </si>
  <si>
    <t>J_2022_1.2.4.2.7</t>
  </si>
  <si>
    <t>J_2022_1.2.4.2.8</t>
  </si>
  <si>
    <t>J_2023_1.2.4.2.9</t>
  </si>
  <si>
    <t>J_2023_1.2.4.2.10</t>
  </si>
  <si>
    <t>J_2023_1.2.4.2.11</t>
  </si>
  <si>
    <t>J_2023_1.2.4.2.12</t>
  </si>
  <si>
    <t>J_2023_1.2.4.2.13</t>
  </si>
  <si>
    <t>J_2023_1.2.4.2.14</t>
  </si>
  <si>
    <t>J_2023_1.2.4.2.15</t>
  </si>
  <si>
    <t>J_2024_1.2.4.2.16</t>
  </si>
  <si>
    <t>J_2024_1.2.4.2.17</t>
  </si>
  <si>
    <t>Приложение № 1</t>
  </si>
  <si>
    <t>от 13.04.2017 № 310</t>
  </si>
  <si>
    <t xml:space="preserve">Форма № </t>
  </si>
  <si>
    <t xml:space="preserve"> Финансовый план субъекта электроэнергетики</t>
  </si>
  <si>
    <t>Инвестиционная программа</t>
  </si>
  <si>
    <t xml:space="preserve">Субъект Российской Федерации: </t>
  </si>
  <si>
    <t xml:space="preserve">Год раскрытия (предоставления) информации: </t>
  </si>
  <si>
    <t>2020</t>
  </si>
  <si>
    <t xml:space="preserve"> год</t>
  </si>
  <si>
    <t>Утвержденные плановые значения показателей приведены в соответствии</t>
  </si>
  <si>
    <t>с</t>
  </si>
  <si>
    <t>приказом Департамента энергетики Приморского края №45пр-129 от 25.10.2019 г.</t>
  </si>
  <si>
    <t>реквизиты решения органа исполнительной власти, утвердившего инвестиционную программу</t>
  </si>
  <si>
    <t>1. Финансово-экономическая модель деятельности субъекта электроэнергетики</t>
  </si>
  <si>
    <t>Год 2020</t>
  </si>
  <si>
    <t>Год 2021</t>
  </si>
  <si>
    <t>Год 2022</t>
  </si>
  <si>
    <t>Год 2023</t>
  </si>
  <si>
    <t>Год 2024</t>
  </si>
  <si>
    <t>Факт</t>
  </si>
  <si>
    <t xml:space="preserve"> (Факт)</t>
  </si>
  <si>
    <t>ИПЦ по годам:</t>
  </si>
  <si>
    <t>БЮДЖЕТ ДОХОДОВ И РАСХОДОВ</t>
  </si>
  <si>
    <t>Выручка от реализации товаров (работ, услуг) всего, в том числе *:</t>
  </si>
  <si>
    <t>Производство и поставка электрической энергии и мощности всего, в том числе:</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</si>
  <si>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</si>
  <si>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</si>
  <si>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</si>
  <si>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</si>
  <si>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</si>
  <si>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</si>
  <si>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Оказание услуг по технологическому присоединению</t>
  </si>
  <si>
    <t>Реализация электрической энергии и мощности</t>
  </si>
  <si>
    <t>1.7</t>
  </si>
  <si>
    <t>Реализации тепловой энергии (мощности)</t>
  </si>
  <si>
    <t>1.8</t>
  </si>
  <si>
    <t>Оказание услуг по оперативно-диспетчерскому управлению в электроэнергетике всего, в том числе:</t>
  </si>
  <si>
    <t>1.8.1</t>
  </si>
  <si>
    <t>в части управления технологическими режимами</t>
  </si>
  <si>
    <t>1.8.2</t>
  </si>
  <si>
    <t>1.9</t>
  </si>
  <si>
    <t>Прочая деятельность</t>
  </si>
  <si>
    <t>Себестоимость товаров (работ, услуг), коммерческие и управленческие расходы всего, в том числе:</t>
  </si>
  <si>
    <t>2.1.1</t>
  </si>
  <si>
    <t>2.1.2</t>
  </si>
  <si>
    <t>2.1.3</t>
  </si>
  <si>
    <t>2.8.1</t>
  </si>
  <si>
    <t>2.8.2</t>
  </si>
  <si>
    <t>2.9</t>
  </si>
  <si>
    <t>II.I</t>
  </si>
  <si>
    <t>Материальные расходы всего, в том числе:</t>
  </si>
  <si>
    <t>расходы на топливо на технологические цели</t>
  </si>
  <si>
    <t>покупная энергия, в том числе:</t>
  </si>
  <si>
    <t>2.1.2.1</t>
  </si>
  <si>
    <t>покупная электрическая энергия (мощность) всего, в том числе:</t>
  </si>
  <si>
    <t>2.1.2.1.1</t>
  </si>
  <si>
    <t>на технологические цели, включая энергию на компенсацию потерь при ее передаче</t>
  </si>
  <si>
    <t>2.1.2.1.2</t>
  </si>
  <si>
    <t>для последующей перепродажи</t>
  </si>
  <si>
    <t>2.1.2.2</t>
  </si>
  <si>
    <t>покупная тепловая энергия (мощность)</t>
  </si>
  <si>
    <t>сырье, материалы, запасные части, инструменты</t>
  </si>
  <si>
    <t>2.1.4</t>
  </si>
  <si>
    <t>прочие материальные расходы</t>
  </si>
  <si>
    <t>II.II</t>
  </si>
  <si>
    <t>Работы и услуги производственного характера всего, в том числе:</t>
  </si>
  <si>
    <t>2.2.1</t>
  </si>
  <si>
    <t>услуги по передаче электрической энергии по единой (национальной) общероссийской электрической сети</t>
  </si>
  <si>
    <t>2.2.2</t>
  </si>
  <si>
    <t>услуги по передаче электрической энергии по сетям территориальной сетевой организации</t>
  </si>
  <si>
    <t>2.2.3</t>
  </si>
  <si>
    <t>услуги по передаче тепловой энергии, теплоносителя</t>
  </si>
  <si>
    <t>2.2.4</t>
  </si>
  <si>
    <t>услуги инфраструктурных организаций *****</t>
  </si>
  <si>
    <t>2.2.5</t>
  </si>
  <si>
    <t>прочие услуги производственного характера</t>
  </si>
  <si>
    <t>II.III</t>
  </si>
  <si>
    <t>Расходы на оплату труда с учетом страховых взносов</t>
  </si>
  <si>
    <t>II.IV</t>
  </si>
  <si>
    <t>Амортизация основных средств и нематериальных активов</t>
  </si>
  <si>
    <t>II.V</t>
  </si>
  <si>
    <t>Налоги и сборы всего, в том числе:</t>
  </si>
  <si>
    <t>налог на имущество организации</t>
  </si>
  <si>
    <t>прочие налоги и сборы</t>
  </si>
  <si>
    <t>II.VI</t>
  </si>
  <si>
    <t>Прочие расходы всего, в том числе:</t>
  </si>
  <si>
    <t>2.6.1</t>
  </si>
  <si>
    <t>работы и услуги непроизводственного характера</t>
  </si>
  <si>
    <t>2.6.2</t>
  </si>
  <si>
    <t>арендная плата, лизинговые платежи</t>
  </si>
  <si>
    <t>2.6.3</t>
  </si>
  <si>
    <t>иные прочие расходы</t>
  </si>
  <si>
    <t>II.VII</t>
  </si>
  <si>
    <t>Иные сведения:</t>
  </si>
  <si>
    <t>2.7.1</t>
  </si>
  <si>
    <t>Расходы на ремонт</t>
  </si>
  <si>
    <t>2.7.2</t>
  </si>
  <si>
    <t>Коммерческие расходы</t>
  </si>
  <si>
    <t>2.7.3</t>
  </si>
  <si>
    <t>Управленческие расходы</t>
  </si>
  <si>
    <t>III</t>
  </si>
  <si>
    <t>Прибыль (убыток) от продаж (строка I - строка II) всего, в том числе:</t>
  </si>
  <si>
    <t>3.1</t>
  </si>
  <si>
    <t>3.1.1</t>
  </si>
  <si>
    <t>3.1.2</t>
  </si>
  <si>
    <t>3.1.3</t>
  </si>
  <si>
    <t>3.2</t>
  </si>
  <si>
    <t>3.3</t>
  </si>
  <si>
    <t>3.4</t>
  </si>
  <si>
    <t>3.5</t>
  </si>
  <si>
    <t>3.6</t>
  </si>
  <si>
    <t>3.7</t>
  </si>
  <si>
    <t>3.8</t>
  </si>
  <si>
    <t>3.8.1</t>
  </si>
  <si>
    <t>3.8.2</t>
  </si>
  <si>
    <t>3.9</t>
  </si>
  <si>
    <t>Прочие доходы и расходы (сальдо) (строка 4.1 - строка 4.2)</t>
  </si>
  <si>
    <t>Прочие доходы всего, в том числе:</t>
  </si>
  <si>
    <t>доходы от участия в других организациях</t>
  </si>
  <si>
    <t>проценты к получению</t>
  </si>
  <si>
    <t>восстановление резервов всего, в том числе:</t>
  </si>
  <si>
    <t>4.1.3.1</t>
  </si>
  <si>
    <t>по сомнительным долгам</t>
  </si>
  <si>
    <t>прочие внереализационные доходы</t>
  </si>
  <si>
    <t>расходы, связанные с персоналом</t>
  </si>
  <si>
    <t>проценты к уплате</t>
  </si>
  <si>
    <t>создание резервов всего, в том числе:</t>
  </si>
  <si>
    <t>4.2.3.1</t>
  </si>
  <si>
    <t>прочие внереализационные расходы</t>
  </si>
  <si>
    <t>V</t>
  </si>
  <si>
    <t>Прибыль (убыток) до налогообложения (строка III + строка IV) всего, в том числе:</t>
  </si>
  <si>
    <t>Производство и поставка электрической энергии на оптовом рынке электрической энергии и мощности</t>
  </si>
  <si>
    <t>5.7</t>
  </si>
  <si>
    <t>5.8</t>
  </si>
  <si>
    <t>5.9</t>
  </si>
  <si>
    <t>VI</t>
  </si>
  <si>
    <t>Налог на прибыль всего, в том числе:</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</si>
  <si>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</si>
  <si>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</si>
  <si>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</si>
  <si>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6.5</t>
  </si>
  <si>
    <t>Оказание услуг по технологическому присоединению;</t>
  </si>
  <si>
    <t>6.6</t>
  </si>
  <si>
    <t>Реализация электрической энергии и мощности;</t>
  </si>
  <si>
    <t>6.7</t>
  </si>
  <si>
    <t>Реализации тепловой энергии (мощности);</t>
  </si>
  <si>
    <t>6.8</t>
  </si>
  <si>
    <t>6.9</t>
  </si>
  <si>
    <t>Прочая деятельность;</t>
  </si>
  <si>
    <t>VII</t>
  </si>
  <si>
    <t>Чистая прибыль (убыток) всего, в том числе:</t>
  </si>
  <si>
    <t>7.5</t>
  </si>
  <si>
    <t>7.6</t>
  </si>
  <si>
    <t>7.7</t>
  </si>
  <si>
    <t>7.8</t>
  </si>
  <si>
    <t>7.8.1</t>
  </si>
  <si>
    <t>7.8.2</t>
  </si>
  <si>
    <t>7.9</t>
  </si>
  <si>
    <t>VIII</t>
  </si>
  <si>
    <t>Направления использования чистой прибыли</t>
  </si>
  <si>
    <t>На инвестиции</t>
  </si>
  <si>
    <t>Резервный фонд</t>
  </si>
  <si>
    <t>Выплата дивидендов</t>
  </si>
  <si>
    <t>Остаток на развитие</t>
  </si>
  <si>
    <t>IX</t>
  </si>
  <si>
    <t>Прибыль до налогообложения без учета процентов к уплате и амортизации (строка V + строка 4.2.2 + строка II.IV)</t>
  </si>
  <si>
    <t>Долг (кредиты и займы) на начало периода всего, в том числе:</t>
  </si>
  <si>
    <t>9.2.1</t>
  </si>
  <si>
    <t>краткосрочные кредиты и займы на начало периода</t>
  </si>
  <si>
    <t>Долг (кредиты и займы) на конец периода, в том числе</t>
  </si>
  <si>
    <t>9.3.1</t>
  </si>
  <si>
    <t>краткосрочные кредиты и займы на конец периода</t>
  </si>
  <si>
    <t>Отношение долга (кредиты и займы) на конец периода (строка 9.3) к прибыли до налогообложения без учета процентов к уплате и амортизации (строка 9.1)</t>
  </si>
  <si>
    <t>БЮДЖЕТ ДВИЖЕНИЯ ДЕНЕЖНЫХ СРЕДСТВ</t>
  </si>
  <si>
    <t>X</t>
  </si>
  <si>
    <t>Поступления от текущих операций всего, в том числе:</t>
  </si>
  <si>
    <t>10.1.1</t>
  </si>
  <si>
    <t>10.1.2</t>
  </si>
  <si>
    <t>10.1.3</t>
  </si>
  <si>
    <t>10.5</t>
  </si>
  <si>
    <t>10.6</t>
  </si>
  <si>
    <t>10.7</t>
  </si>
  <si>
    <t>10.8</t>
  </si>
  <si>
    <t>10.8.1</t>
  </si>
  <si>
    <t>10.8.2</t>
  </si>
  <si>
    <t>10.9</t>
  </si>
  <si>
    <t>Поступления денежных средств за счет средств бюджетов бюджетной системы Российской Федерации (субсидия) всего, в том числе:</t>
  </si>
  <si>
    <t>10.9.1</t>
  </si>
  <si>
    <t>за счет средств федерального бюджета</t>
  </si>
  <si>
    <t>10.9.2</t>
  </si>
  <si>
    <t>за счет средств консолидированного бюджета субъекта Российской Федерации</t>
  </si>
  <si>
    <t>10.10</t>
  </si>
  <si>
    <t>XI</t>
  </si>
  <si>
    <t>Платежи по текущим операциям всего, в том числе:</t>
  </si>
  <si>
    <t>11.1</t>
  </si>
  <si>
    <t>Оплата поставщикам топлива</t>
  </si>
  <si>
    <t>11.2</t>
  </si>
  <si>
    <t>Оплата покупной энергии всего, в том числе:</t>
  </si>
  <si>
    <t>11.2.1</t>
  </si>
  <si>
    <t>на оптовом рынке электрической энергии и мощности</t>
  </si>
  <si>
    <t>11.2.2</t>
  </si>
  <si>
    <t>на розничных рынках электрической энергии</t>
  </si>
  <si>
    <t>11.2.3</t>
  </si>
  <si>
    <t>на компенсацию потерь</t>
  </si>
  <si>
    <t>11.3</t>
  </si>
  <si>
    <t>Оплата услуг по передаче электрической энергии по единой (национальной) общероссийской электрической сети</t>
  </si>
  <si>
    <t>11.4</t>
  </si>
  <si>
    <t>Оплата услуг по передаче электрической энергии по сетям территориальных сетевых организаций</t>
  </si>
  <si>
    <t>11.5</t>
  </si>
  <si>
    <t>Оплата услуг по передаче тепловой энергии, теплоносителя</t>
  </si>
  <si>
    <t>11.6</t>
  </si>
  <si>
    <t>Оплата труда</t>
  </si>
  <si>
    <t>11.7</t>
  </si>
  <si>
    <t>Страховые взносы</t>
  </si>
  <si>
    <t>11.8</t>
  </si>
  <si>
    <t>Оплата налогов и сборов всего, в том числе:</t>
  </si>
  <si>
    <t>11.8.1</t>
  </si>
  <si>
    <t>налог на прибыль</t>
  </si>
  <si>
    <t>11.9</t>
  </si>
  <si>
    <t>Оплата сырья, материалов, запасных частей, инструментов</t>
  </si>
  <si>
    <t>11.10</t>
  </si>
  <si>
    <t>Оплата прочих услуг производственного характера</t>
  </si>
  <si>
    <t>11.11</t>
  </si>
  <si>
    <t>Арендная плата и лизинговые платежи</t>
  </si>
  <si>
    <t>11.12</t>
  </si>
  <si>
    <t>Проценты по долговым обязательствам (за исключением процентов по долговым обязательствам, включаемым в стоимость инвестиционного актива)</t>
  </si>
  <si>
    <t>11.13</t>
  </si>
  <si>
    <t>Прочие платежи по текущей деятельности</t>
  </si>
  <si>
    <t>XII</t>
  </si>
  <si>
    <t>Поступления от инвестиционных операций всего, в том числе:</t>
  </si>
  <si>
    <t>12.1</t>
  </si>
  <si>
    <t>Поступления от реализации имущества и имущественных прав</t>
  </si>
  <si>
    <t>12.2</t>
  </si>
  <si>
    <t>Поступления по заключенным инвестиционным соглашениям, в том числе</t>
  </si>
  <si>
    <t>12.2.1</t>
  </si>
  <si>
    <t>по использованию средств бюджетов бюджетной системы Российской Федерации всего, в том числе:</t>
  </si>
  <si>
    <t>12.2.1.1</t>
  </si>
  <si>
    <t>12.2.1.2</t>
  </si>
  <si>
    <t>средства консолидированного бюджета субъекта Российской Федерации</t>
  </si>
  <si>
    <t>12.3</t>
  </si>
  <si>
    <t>Прочие поступления по инвестиционным операциям</t>
  </si>
  <si>
    <t>XIII</t>
  </si>
  <si>
    <t>Платежи по инвестиционным операциям всего, в том числе:</t>
  </si>
  <si>
    <t>13.1</t>
  </si>
  <si>
    <t>Инвестиции в основной капитал всего, в том числе:</t>
  </si>
  <si>
    <t>13.1.1</t>
  </si>
  <si>
    <t>техническое перевооружение и реконструкция</t>
  </si>
  <si>
    <t>13.1.2</t>
  </si>
  <si>
    <t>новое строительство и расширение</t>
  </si>
  <si>
    <t>13.1.3</t>
  </si>
  <si>
    <t>проектно-изыскательные работы для объектов нового строительства будущих лет</t>
  </si>
  <si>
    <t>13.1.4</t>
  </si>
  <si>
    <t>приобретение объектов основных средств, земельных участков</t>
  </si>
  <si>
    <t>13.1.5</t>
  </si>
  <si>
    <t>проведение научно-исследовательских и опытно-конструкторских разработок</t>
  </si>
  <si>
    <t>13.1.6</t>
  </si>
  <si>
    <t>прочие выплаты, связанные с инвестициями в основной капитал</t>
  </si>
  <si>
    <t>13.2</t>
  </si>
  <si>
    <t>Приобретение нематериальных активов</t>
  </si>
  <si>
    <t>13.3</t>
  </si>
  <si>
    <t>Прочие платежи по инвестиционным операциям всего, в том числе:</t>
  </si>
  <si>
    <t>13.4</t>
  </si>
  <si>
    <t>13.4.1</t>
  </si>
  <si>
    <t>проценты по долговым обязательствам, включаемым в стоимость инвестиционного актива</t>
  </si>
  <si>
    <t>XIV</t>
  </si>
  <si>
    <t>Поступления от финансовых операций всего, в том числе:</t>
  </si>
  <si>
    <t>14.1</t>
  </si>
  <si>
    <t>Процентные поступления</t>
  </si>
  <si>
    <t>14.2</t>
  </si>
  <si>
    <t>Поступления по полученным кредитам всего, в том числе:</t>
  </si>
  <si>
    <t>14.2.1</t>
  </si>
  <si>
    <t>на текущую деятельность</t>
  </si>
  <si>
    <t>14.2.2</t>
  </si>
  <si>
    <t>на инвестиционные операции</t>
  </si>
  <si>
    <t>14.2.3</t>
  </si>
  <si>
    <t>на рефинансирование кредитов и займов</t>
  </si>
  <si>
    <t>14.3</t>
  </si>
  <si>
    <t>Поступления от эмиссии акций **</t>
  </si>
  <si>
    <t>14.4</t>
  </si>
  <si>
    <t>Поступления от реализации финансовых инструментов всего, в том числе:</t>
  </si>
  <si>
    <t>14.4.1</t>
  </si>
  <si>
    <t>облигационные займы</t>
  </si>
  <si>
    <t>14.4.2</t>
  </si>
  <si>
    <t>вексели</t>
  </si>
  <si>
    <t>14.5</t>
  </si>
  <si>
    <t>Поступления от займов организаций</t>
  </si>
  <si>
    <t>14.6</t>
  </si>
  <si>
    <t>Поступления за счет средств инвесторов</t>
  </si>
  <si>
    <t>14.7</t>
  </si>
  <si>
    <t>Прочие поступления по финансовым операциям</t>
  </si>
  <si>
    <t>XV</t>
  </si>
  <si>
    <t>Платежи по финансовым операциям всего, в том числе:</t>
  </si>
  <si>
    <t>15.1</t>
  </si>
  <si>
    <t>Погашение кредитов и займов всего, в том числе:</t>
  </si>
  <si>
    <t>15.1.1</t>
  </si>
  <si>
    <t>15.1.2</t>
  </si>
  <si>
    <t>15.1.3</t>
  </si>
  <si>
    <t>15.2</t>
  </si>
  <si>
    <t>15.3</t>
  </si>
  <si>
    <t>Прочие выплаты по финансовым операциям</t>
  </si>
  <si>
    <t>XVI</t>
  </si>
  <si>
    <t>Сальдо денежных средств по операционной деятельности (строка X - строка XI) всего, в том числе:</t>
  </si>
  <si>
    <t>XVII</t>
  </si>
  <si>
    <t>Сальдо денежных средств по инвестиционным операциям всего (строка XII - строка XIII), всего, в том числе</t>
  </si>
  <si>
    <t>17.1</t>
  </si>
  <si>
    <t>Сальдо денежных средств по инвестиционным операциям</t>
  </si>
  <si>
    <t>17.2</t>
  </si>
  <si>
    <t>Сальдо денежных средств по прочей деятельности</t>
  </si>
  <si>
    <t>XVIII</t>
  </si>
  <si>
    <t>Сальдо денежных средств по финансовым операциям всего (строка XIV - строка XV), в том числе</t>
  </si>
  <si>
    <t>18.1</t>
  </si>
  <si>
    <t>Сальдо денежных средств по привлечению и погашению кредитов и займов</t>
  </si>
  <si>
    <t>18.2</t>
  </si>
  <si>
    <t>Сальдо денежных средств по прочей финансовой деятельности</t>
  </si>
  <si>
    <t>XIX</t>
  </si>
  <si>
    <t>Сальдо денежных средств от транзитных операций</t>
  </si>
  <si>
    <t>XX</t>
  </si>
  <si>
    <t>Итого сальдо денежных средств (строка XVI + строка XVII + строка XVIII + строка XIX)</t>
  </si>
  <si>
    <t>XXI</t>
  </si>
  <si>
    <t>Остаток денежных средств на начало периода</t>
  </si>
  <si>
    <t>XXII</t>
  </si>
  <si>
    <t>Остаток денежных средств на конец периода</t>
  </si>
  <si>
    <t>XXIII</t>
  </si>
  <si>
    <t>23.1</t>
  </si>
  <si>
    <t>Дебиторская задолженность на конец периода всего, в том числе:</t>
  </si>
  <si>
    <t>23.1.1</t>
  </si>
  <si>
    <t>производство и поставка электрической энергии и мощности всего, в том числе:</t>
  </si>
  <si>
    <t>23.1.1.а</t>
  </si>
  <si>
    <t>из нее просроченная</t>
  </si>
  <si>
    <t>23.1.1.1</t>
  </si>
  <si>
    <t>23.1.1.1.а</t>
  </si>
  <si>
    <t>23.1.1.2</t>
  </si>
  <si>
    <t>23.1.1.2.а</t>
  </si>
  <si>
    <t>23.1.1.3</t>
  </si>
  <si>
    <t>23.1.1.3.а</t>
  </si>
  <si>
    <t>23.1.2</t>
  </si>
  <si>
    <t>производство и поставка тепловой энергии (мощности)</t>
  </si>
  <si>
    <t>23.1.2.а</t>
  </si>
  <si>
    <t>23.1.3</t>
  </si>
  <si>
    <t>оказание услуг по передаче электрической энергии</t>
  </si>
  <si>
    <t>23.1.3.а</t>
  </si>
  <si>
    <t>23.1.4</t>
  </si>
  <si>
    <t>оказание услуг по передаче тепловой энергии, теплоносителя</t>
  </si>
  <si>
    <t>23.1.4.а</t>
  </si>
  <si>
    <t>23.1.5</t>
  </si>
  <si>
    <t>оказание услуг по технологическому присоединению</t>
  </si>
  <si>
    <t>23.1.5.а</t>
  </si>
  <si>
    <t>23.1.7</t>
  </si>
  <si>
    <t>реализация электрической энергии и мощности</t>
  </si>
  <si>
    <t>23.1.6.а</t>
  </si>
  <si>
    <t>реализации тепловой энергии (мощности)</t>
  </si>
  <si>
    <t>23.1.7.а</t>
  </si>
  <si>
    <t>23.1.8</t>
  </si>
  <si>
    <t>оказание услуг по оперативно-диспетчерскому управлению в электроэнергетике 
всего, в том числе:</t>
  </si>
  <si>
    <t>23.1.8.а</t>
  </si>
  <si>
    <t>23.1.8.1</t>
  </si>
  <si>
    <t>23.1.8.1.а</t>
  </si>
  <si>
    <t>23.1.8.2</t>
  </si>
  <si>
    <t>23.1.8.2.а</t>
  </si>
  <si>
    <t>23.1.9</t>
  </si>
  <si>
    <t>прочая деятельность</t>
  </si>
  <si>
    <t>23.1.9.а</t>
  </si>
  <si>
    <t>23.2</t>
  </si>
  <si>
    <t>Кредиторская задолженность на конец периода всего, в том числе:</t>
  </si>
  <si>
    <t>23.2.1</t>
  </si>
  <si>
    <t>поставщикам топлива на технологические цели</t>
  </si>
  <si>
    <t>23.2.1.а</t>
  </si>
  <si>
    <t>23.2.2</t>
  </si>
  <si>
    <t>поставщикам покупной энергии всего, в том числе:</t>
  </si>
  <si>
    <t>23.2.2.1</t>
  </si>
  <si>
    <t>23.2.2.1.а</t>
  </si>
  <si>
    <t>23.2.2.2</t>
  </si>
  <si>
    <t>на розничных рынках</t>
  </si>
  <si>
    <t>23.2.2.2.а</t>
  </si>
  <si>
    <t>23.2.3</t>
  </si>
  <si>
    <t>по оплате услуг на передачу электрической энергии по единой (национальной) общероссийской электрической сети</t>
  </si>
  <si>
    <t>23.2.3.а</t>
  </si>
  <si>
    <t>23.2.4</t>
  </si>
  <si>
    <t>по оплате услуг территориальных сетевых организаций</t>
  </si>
  <si>
    <t>23.2.4.а</t>
  </si>
  <si>
    <t>23.2.5</t>
  </si>
  <si>
    <t>перед персоналом по оплате труда</t>
  </si>
  <si>
    <t>23.2.5.а</t>
  </si>
  <si>
    <t>23.2.6</t>
  </si>
  <si>
    <t>перед бюджетами и внебюджетными фондами</t>
  </si>
  <si>
    <t>23.2.6.а</t>
  </si>
  <si>
    <t>23.2.7</t>
  </si>
  <si>
    <t>по договорам технологического присоединения</t>
  </si>
  <si>
    <t>23.2.7.а</t>
  </si>
  <si>
    <t>23.2.8</t>
  </si>
  <si>
    <t>по обязательствам перед поставщиками и подрядчиками по исполнению инвестиционной программы</t>
  </si>
  <si>
    <t>23.2.8.а</t>
  </si>
  <si>
    <t>23.2.9</t>
  </si>
  <si>
    <t>прочая кредиторская задолженность</t>
  </si>
  <si>
    <t>23.2.9.а</t>
  </si>
  <si>
    <t>23.3</t>
  </si>
  <si>
    <t>Отношение поступлений денежных средств к выручке от реализованных товаров и оказанных услуг (с учетом НДС) всего, в том числе:</t>
  </si>
  <si>
    <t>%</t>
  </si>
  <si>
    <t>23.3.1</t>
  </si>
  <si>
    <t>от производства и поставки электрической энергии и мощности</t>
  </si>
  <si>
    <t>23.3.1.1</t>
  </si>
  <si>
    <t>от производства и поставки электрической энергии на оптовом рынке электрической энергии и мощности</t>
  </si>
  <si>
    <t>23.3.1.2</t>
  </si>
  <si>
    <t>от производства и поставки электрической мощности на оптовом рынке электрической энергии и мощности</t>
  </si>
  <si>
    <t>23.3.1.3</t>
  </si>
  <si>
    <t>от производства и поставки электрической энергии (мощности) на розничных рынках электрической энергии</t>
  </si>
  <si>
    <t>23.3.2</t>
  </si>
  <si>
    <t>от производства и поставки тепловой энергии (мощности)</t>
  </si>
  <si>
    <t>23.3.3</t>
  </si>
  <si>
    <t>от оказания услуг по передаче электрической энергии</t>
  </si>
  <si>
    <t>23.3.4</t>
  </si>
  <si>
    <t>от оказания услуг по передаче тепловой энергии, теплоносителя</t>
  </si>
  <si>
    <t>23.3.5</t>
  </si>
  <si>
    <t>от реализации электрической энергии и мощности</t>
  </si>
  <si>
    <t>23.3.6</t>
  </si>
  <si>
    <t>от реализации тепловой энергии (мощности)</t>
  </si>
  <si>
    <t>23.3.7</t>
  </si>
  <si>
    <t>от оказания услуг по оперативно-диспетчерскому управлению в электроэнергетике 
всего, в том числе:</t>
  </si>
  <si>
    <t>23.3.7.1</t>
  </si>
  <si>
    <t>23.3.7.2</t>
  </si>
  <si>
    <t>ТЕХНИКО-ЭКОНОМИЧЕСКИЕ ПОКАЗАТЕЛИ</t>
  </si>
  <si>
    <t>XXIV</t>
  </si>
  <si>
    <t>В отношении деятельности по производству электрической, тепловой энергии (мощности)</t>
  </si>
  <si>
    <t>х</t>
  </si>
  <si>
    <t>24.1</t>
  </si>
  <si>
    <t>Установленная электрическая мощность</t>
  </si>
  <si>
    <t>24.2</t>
  </si>
  <si>
    <t>Установленная тепловая мощность</t>
  </si>
  <si>
    <t>Гкал/час</t>
  </si>
  <si>
    <t>24.3</t>
  </si>
  <si>
    <t>Располагаемая электрическая мощность</t>
  </si>
  <si>
    <t>24.4</t>
  </si>
  <si>
    <t>Присоединенная тепловая мощность</t>
  </si>
  <si>
    <t>24.5</t>
  </si>
  <si>
    <t>Объем выработанной электрической энергии</t>
  </si>
  <si>
    <t>млн кВт.ч</t>
  </si>
  <si>
    <t>24.6</t>
  </si>
  <si>
    <t>Объем продукции отпущенной с шин (коллекторов)</t>
  </si>
  <si>
    <t>24.6.1</t>
  </si>
  <si>
    <t>электрической энергии</t>
  </si>
  <si>
    <t>24.6.2</t>
  </si>
  <si>
    <t>тепловой энергии</t>
  </si>
  <si>
    <t>тыс. Гкал</t>
  </si>
  <si>
    <t>24.7</t>
  </si>
  <si>
    <t>Объем покупной продукции для последующей продажи</t>
  </si>
  <si>
    <t>24.7.1</t>
  </si>
  <si>
    <t>24.7.2</t>
  </si>
  <si>
    <t>электрической мощности</t>
  </si>
  <si>
    <t>24.7.3</t>
  </si>
  <si>
    <t>24.8</t>
  </si>
  <si>
    <t>Объем покупной продукции на технологические цели</t>
  </si>
  <si>
    <t>24.8.1</t>
  </si>
  <si>
    <t>24.8.2</t>
  </si>
  <si>
    <t>24.9</t>
  </si>
  <si>
    <t>Объем продукции отпущенной (проданной) потребителям</t>
  </si>
  <si>
    <t>24.9.1</t>
  </si>
  <si>
    <t>24.9.2</t>
  </si>
  <si>
    <t>24.9.3</t>
  </si>
  <si>
    <t>XXV</t>
  </si>
  <si>
    <t>В отношении деятельности по передаче электрической энергии</t>
  </si>
  <si>
    <t>25.1</t>
  </si>
  <si>
    <t>Объем отпуска электрической энергии из сети (полезный отпуск) всего, в том числе:</t>
  </si>
  <si>
    <t>25.1.1</t>
  </si>
  <si>
    <t>потребителям, присоединенным к единой (национальной) общероссийской электрической сети всего, в том числе:</t>
  </si>
  <si>
    <t>25.1.1.1</t>
  </si>
  <si>
    <t>территориальные сетевые организации</t>
  </si>
  <si>
    <t>25.1.1.2</t>
  </si>
  <si>
    <t>потребители, не являющиеся территориальными сетевыми организациями</t>
  </si>
  <si>
    <t>25.2</t>
  </si>
  <si>
    <t>Объем технологического расхода (потерь) при передаче электрической энергии</t>
  </si>
  <si>
    <t>25.3</t>
  </si>
  <si>
    <t>Заявленная мощность ***/фактическая мощность всего, в том числе:</t>
  </si>
  <si>
    <t>25.3.1</t>
  </si>
  <si>
    <t>потребителей, присоединенных к единой (национальной) общероссийской электрической сети всего, в том числе:</t>
  </si>
  <si>
    <t>25.3.1.1</t>
  </si>
  <si>
    <t>25.3.1.2</t>
  </si>
  <si>
    <t>25.4</t>
  </si>
  <si>
    <t>Количество условных единиц обслуживаемого электросетевого оборудования</t>
  </si>
  <si>
    <t>у.е.</t>
  </si>
  <si>
    <t>25.5</t>
  </si>
  <si>
    <t>Необходимая валовая выручка сетевой организации в части содержания (строка 1.3 - 
строка 2.2.1 - строка 2.2.2 - строка 2.1.2.1.1)</t>
  </si>
  <si>
    <t>XXVI</t>
  </si>
  <si>
    <t>В отношении сбытовой деятельности</t>
  </si>
  <si>
    <t>26.1</t>
  </si>
  <si>
    <t>Полезный отпуск электрической энергии потребителям</t>
  </si>
  <si>
    <t>26.2</t>
  </si>
  <si>
    <t>Отпуск тепловой энергии потребителям</t>
  </si>
  <si>
    <t>26.3</t>
  </si>
  <si>
    <t>Необходимая валовая выручка сбытовой организации без учета покупной электрической энергии (мощности) для последующей перепродажи и оплаты услуг по передаче электрической энергии</t>
  </si>
  <si>
    <t>26.4</t>
  </si>
  <si>
    <t>Необходимая валовая выручка сбытовой организации без учета затрат на покупку тепловой энергии и оплаты услуг по ее передаче</t>
  </si>
  <si>
    <t>XXVII</t>
  </si>
  <si>
    <t>В отношении деятельности по оперативно-диспетчерскому управлению</t>
  </si>
  <si>
    <t>27.1</t>
  </si>
  <si>
    <t>Установленная мощность в Единой энергетической системе России, в том числе</t>
  </si>
  <si>
    <t>27.1.1</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</si>
  <si>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оптовом рынке</t>
  </si>
  <si>
    <t>27.1.2</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</si>
  <si>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розничном рынке</t>
  </si>
  <si>
    <t>27.1.3</t>
  </si>
  <si>
    <t>средняя мощность поставки электрической энергии по группам точек поставки импорта на оптовом рынке</t>
  </si>
  <si>
    <t>27.2</t>
  </si>
  <si>
    <t>Объем потребления в Единой энергетической системе России, в том числе</t>
  </si>
  <si>
    <t>27.2.1</t>
  </si>
  <si>
    <t>суммарный объем потребления (покупки) электрической энергии по всем группам 
точек поставки, зарегистрированным на оптовом рынке</t>
  </si>
  <si>
    <t>27.2.2</t>
  </si>
  <si>
    <t>суммарный объем поставки электрической энергии на экспорт из России</t>
  </si>
  <si>
    <t>27.3</t>
  </si>
  <si>
    <t>Собственная необходимая валовая выручка субъекта оперативно-диспетчерского управления, всего, в том числе</t>
  </si>
  <si>
    <t>27.3.1</t>
  </si>
  <si>
    <t>27.3.2</t>
  </si>
  <si>
    <t>XXVIII</t>
  </si>
  <si>
    <t>Среднесписочная численность работников</t>
  </si>
  <si>
    <t>чел.</t>
  </si>
  <si>
    <t>2. Источники финансирования инвестиционной программы субъекта электроэнергетики</t>
  </si>
  <si>
    <t>Год 2016</t>
  </si>
  <si>
    <t>Год 2017</t>
  </si>
  <si>
    <t>Год 2018</t>
  </si>
  <si>
    <t>Прогноз (Факт)</t>
  </si>
  <si>
    <t>Источники финансирования инвестиционной программы всего (строка I + строка II) всего, в том числе:</t>
  </si>
  <si>
    <t>Собственные средства всего, в том числе:</t>
  </si>
  <si>
    <t>полученная от реализации продукции и оказанных услуг по регулируемым ценам (тарифам):</t>
  </si>
  <si>
    <t>производства и поставки электрической энергии и мощности</t>
  </si>
  <si>
    <t>1.1.1.1.1</t>
  </si>
  <si>
    <t>1.1.1.1.2</t>
  </si>
  <si>
    <t>1.1.1.1.3</t>
  </si>
  <si>
    <t>производства и поставки тепловой энергии (мощности)</t>
  </si>
  <si>
    <t>оказания услуг по передаче электрической энергии</t>
  </si>
  <si>
    <t>оказания услуг по передаче тепловой энергии, теплоносителя</t>
  </si>
  <si>
    <t>1.1.1.5.1</t>
  </si>
  <si>
    <t>от технологического присоединения объектов по производству электрической и тепловой энергии</t>
  </si>
  <si>
    <t>1.1.1.5.1.а</t>
  </si>
  <si>
    <t>1.1.1.5.2</t>
  </si>
  <si>
    <t>1.1.1.5.2.а</t>
  </si>
  <si>
    <t>реализации электрической энергии и мощности</t>
  </si>
  <si>
    <t>1.1.1.8</t>
  </si>
  <si>
    <t>оказания услуг по оперативно-диспетчерскому управлению в электроэнергетике всего, в том числе:</t>
  </si>
  <si>
    <t>1.1.1.8.1</t>
  </si>
  <si>
    <t>1.1.1.8.2</t>
  </si>
  <si>
    <t>прибыль от продажи электрической энергии (мощности) по нерегулируемым ценам, всего, в том числе:</t>
  </si>
  <si>
    <t>прочая прибыль</t>
  </si>
  <si>
    <t>Амортизация основных средств всего, в том числе:</t>
  </si>
  <si>
    <t>текущая амортизация, учтенная в ценах (тарифах) всего, в том числе:</t>
  </si>
  <si>
    <t>производство и поставка электрической энергии и мощности</t>
  </si>
  <si>
    <t>1.2.1.1.1</t>
  </si>
  <si>
    <t>1.2.1.1.2</t>
  </si>
  <si>
    <t>1.2.1.1.3</t>
  </si>
  <si>
    <t>оказание услуг по оперативно-диспетчерскому управлению в электроэнергетике всего, в том числе:</t>
  </si>
  <si>
    <t>прочая текущая амортизация</t>
  </si>
  <si>
    <t>недоиспользованная амортизация прошлых лет всего, в том числе:</t>
  </si>
  <si>
    <t>1.2.3.1.2</t>
  </si>
  <si>
    <t>Возврат налога на добавленную стоимость ****</t>
  </si>
  <si>
    <t>Прочие собственные средства всего, в том числе:</t>
  </si>
  <si>
    <t>средства от эмиссии акций</t>
  </si>
  <si>
    <t>Вексели</t>
  </si>
  <si>
    <t>2.5.1.1</t>
  </si>
  <si>
    <t>2.5.2.1</t>
  </si>
  <si>
    <t>в том числе средства консолидированного бюджета субъекта Российской Федерации, недоиспользованные в прошлых периодах</t>
  </si>
  <si>
    <t>Объем финансирования мероприятий по технологическому присоединению льготных категорий заявителей максимальной присоединяемой мощностью до 150 кВт, в том числе за счет:</t>
  </si>
  <si>
    <t>цен (тарифов) на услуги по передаче электрической энергии;</t>
  </si>
  <si>
    <t>амортизации, учтенной в ценах (тарифах) на услуги по передаче электрической 
энергии;</t>
  </si>
  <si>
    <t>кредитов</t>
  </si>
  <si>
    <t>Для субъектов электроэнергетики, осуществляющих регулируемые виды деятельности с использованием метода доходности инвестированного капитала</t>
  </si>
  <si>
    <t>3.2.1</t>
  </si>
  <si>
    <t>возврат инвестированного капитала, направляемый на инвестиции</t>
  </si>
  <si>
    <t>3.2.2</t>
  </si>
  <si>
    <t>доход на инвестированный капитал, направляемый на инвестиции</t>
  </si>
  <si>
    <t>3.2.3</t>
  </si>
  <si>
    <t>заемные средства, направляемые на инвестиции</t>
  </si>
  <si>
    <r>
      <t>_____</t>
    </r>
    <r>
      <rPr>
        <b/>
        <sz val="5.85"/>
        <rFont val="Times New Roman"/>
        <family val="1"/>
        <charset val="204"/>
      </rPr>
      <t>Примечание:</t>
    </r>
  </si>
  <si>
    <r>
      <t>_____</t>
    </r>
    <r>
      <rPr>
        <sz val="5.85"/>
        <rFont val="Times New Roman"/>
        <family val="1"/>
        <charset val="204"/>
      </rPr>
      <t>*</t>
    </r>
    <r>
      <rPr>
        <sz val="5.85"/>
        <color indexed="9"/>
        <rFont val="Times New Roman"/>
        <family val="1"/>
        <charset val="204"/>
      </rPr>
      <t>_</t>
    </r>
    <r>
      <rPr>
        <sz val="5.85"/>
        <rFont val="Times New Roman"/>
        <family val="1"/>
        <charset val="204"/>
      </rPr>
      <t>В строках, содержащих слова "всего, в том числе" указывается сумма нижерасположенных строк соответствующего раздела (подраздела).</t>
    </r>
  </si>
  <si>
    <r>
      <t>_____</t>
    </r>
    <r>
      <rPr>
        <sz val="5.85"/>
        <rFont val="Times New Roman"/>
        <family val="1"/>
        <charset val="204"/>
      </rPr>
      <t>**</t>
    </r>
    <r>
      <rPr>
        <sz val="5.85"/>
        <color indexed="9"/>
        <rFont val="Times New Roman"/>
        <family val="1"/>
        <charset val="204"/>
      </rPr>
      <t>_</t>
    </r>
    <r>
      <rPr>
        <sz val="5.85"/>
        <rFont val="Times New Roman"/>
        <family val="1"/>
        <charset val="204"/>
      </rPr>
      <t>Строка заполняется в объеме притока денежных средств от эмиссии акций. В случае оплаты эмиссии акций с использованием не денежных операций, данная строка не заполняется.</t>
    </r>
  </si>
  <si>
    <r>
      <t>_____</t>
    </r>
    <r>
      <rPr>
        <sz val="5.85"/>
        <rFont val="Times New Roman"/>
        <family val="1"/>
        <charset val="204"/>
      </rPr>
      <t>***</t>
    </r>
    <r>
      <rPr>
        <sz val="5.85"/>
        <color indexed="9"/>
        <rFont val="Times New Roman"/>
        <family val="1"/>
        <charset val="204"/>
      </rPr>
      <t>_</t>
    </r>
    <r>
      <rPr>
        <sz val="5.85"/>
        <rFont val="Times New Roman"/>
        <family val="1"/>
        <charset val="204"/>
      </rPr>
      <t>Указывается на основании заключенных договоров на оказание услуг по передаче электрической энергии.</t>
    </r>
  </si>
  <si>
    <r>
      <t>_____</t>
    </r>
    <r>
      <rPr>
        <sz val="5.85"/>
        <rFont val="Times New Roman"/>
        <family val="1"/>
        <charset val="204"/>
      </rPr>
      <t>****</t>
    </r>
    <r>
      <rPr>
        <sz val="5.85"/>
        <color indexed="9"/>
        <rFont val="Times New Roman"/>
        <family val="1"/>
        <charset val="204"/>
      </rPr>
      <t>_</t>
    </r>
    <r>
      <rPr>
        <sz val="5.85"/>
        <rFont val="Times New Roman"/>
        <family val="1"/>
        <charset val="204"/>
      </rPr>
      <t>Указываются денежные средства в виде положительного сальдо от налога на добавленную стоимость к уплате и налога на добавленную стоимость к возврату, рассчитанные с учетом налогового вычета, в том числе связанного с капитальными вложениями.</t>
    </r>
  </si>
  <si>
    <r>
      <t>_____</t>
    </r>
    <r>
      <rPr>
        <sz val="5.85"/>
        <rFont val="Times New Roman"/>
        <family val="1"/>
        <charset val="204"/>
      </rPr>
      <t>*****</t>
    </r>
    <r>
      <rPr>
        <sz val="5.85"/>
        <color indexed="9"/>
        <rFont val="Times New Roman"/>
        <family val="1"/>
        <charset val="204"/>
      </rPr>
      <t>_</t>
    </r>
    <r>
      <rPr>
        <sz val="5.85"/>
        <rFont val="Times New Roman"/>
        <family val="1"/>
        <charset val="204"/>
      </rPr>
      <t>Указывается суммарно стоимость оказанных субъекту электроэнергетики услуг:</t>
    </r>
  </si>
  <si>
    <r>
      <t>_____</t>
    </r>
    <r>
      <rPr>
        <sz val="5.85"/>
        <rFont val="Times New Roman"/>
        <family val="1"/>
        <charset val="204"/>
      </rPr>
      <t>по оперативно-диспетчерскому управлению в электроэнергетике;</t>
    </r>
  </si>
  <si>
    <r>
      <t>_____</t>
    </r>
    <r>
      <rPr>
        <sz val="5.85"/>
        <rFont val="Times New Roman"/>
        <family val="1"/>
        <charset val="204"/>
      </rPr>
      <t>по организации оптовой торговли электрической энергией, мощностью и иными допущенными к обращению на оптовом рынке товарами и услугами;</t>
    </r>
  </si>
  <si>
    <r>
      <t>_____</t>
    </r>
    <r>
      <rPr>
        <sz val="5.85"/>
        <rFont val="Times New Roman"/>
        <family val="1"/>
        <charset val="204"/>
      </rPr>
      <t>по расчету требований и обязательств участников оптового рынка.</t>
    </r>
  </si>
  <si>
    <t>М.И. Никуленко</t>
  </si>
  <si>
    <t>Прочие инвестиционные проекты, всего, в том числе:</t>
  </si>
  <si>
    <t>Приобретение спецализированной техники: (гусеничный экскаватор - 3 ед. , самосвал - 3 ед.)</t>
  </si>
  <si>
    <t>1.6.1.</t>
  </si>
  <si>
    <t xml:space="preserve">показатель объема финансовых потребностей, необходимых для реализации мероприятий, направленных на развитие информационной инфраструктуры, млн.руб.             </t>
  </si>
  <si>
    <t xml:space="preserve">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млн.руб.  </t>
  </si>
  <si>
    <t xml:space="preserve">Обеспечение текущей деятельности в сфере электроэнергетики, в том числе обеспечение деятельности по реализации мероприятий по п. 1,2.1.1. инвестиционной программы (прокладка кабельных линий) </t>
  </si>
  <si>
    <t>1.2.2.1.13</t>
  </si>
  <si>
    <t>1.2.2.1.14</t>
  </si>
  <si>
    <t>1.2.2.1.15</t>
  </si>
  <si>
    <t>1.2.2.1.16</t>
  </si>
  <si>
    <t>1.2.2.1.17</t>
  </si>
  <si>
    <t>1.2.2.1.18</t>
  </si>
  <si>
    <t>1.2.2.1.19</t>
  </si>
  <si>
    <t>1.2.2.1.20</t>
  </si>
  <si>
    <t>1.2.2.1.21</t>
  </si>
  <si>
    <t>1.2.2.1.22</t>
  </si>
  <si>
    <t>1.2.2.1.23</t>
  </si>
  <si>
    <t>1.2.2.1.24</t>
  </si>
  <si>
    <t>Прокладка КЛ-6 кВ от ТП-4620 до ТП-4682, от ТП-4620 до ТП-4903 ул. Александровича, Комитетская</t>
  </si>
  <si>
    <t>Прокладка КЛ-6 кВ от ТП-257 до ТП-258 в районе ул. Нерчинская, 40</t>
  </si>
  <si>
    <t>Прокладка КЛ-6 кВ от РТП-21 до ТП-2931 в районе ул. Зои Космодемьянской, 7</t>
  </si>
  <si>
    <t>Прокладка, КЛ-6кВ от ТП-2858 до ТП-2859 в районе ул. Адмирала Юмашева, 40</t>
  </si>
  <si>
    <t>Прокладка КЛ-0,4кВ от ТП-107 до ВРУ ж/дома по ул. Хабаровская, 4б</t>
  </si>
  <si>
    <t>Прокладка КЛ-0,4кВ от ТП-396 до ВРУ ж/дома по ул. Светланская, 85</t>
  </si>
  <si>
    <t>Прокладка КЛ-0,4кВ от ТП-483 до ВРУ ж/дома по ул. Рылеева, 8</t>
  </si>
  <si>
    <t>Прокладка КЛ-0,4кВ от ТП-1554 до ВРУ ж/дома по ул. Русская, 53б</t>
  </si>
  <si>
    <t>Прокладка КЛ-0,4кВ от ТП-2747 до ВРУ ж/дома по ул. Часовитина, 21</t>
  </si>
  <si>
    <t>Прокладка КЛ-0,4кВ от ТП-2832 до ВРУ ж/дома по ул. Шепеткова, 37</t>
  </si>
  <si>
    <t>Прокладка КЛ-0,4кВ от ТП-2851 до ВРУ ж/домов по ул. Луговая, 51, 53</t>
  </si>
  <si>
    <t>Прокладка КЛ-0,4кВ от ТП-2951 до ВРУ ж/дома по ул. Борисенко, 94</t>
  </si>
  <si>
    <t>J_2021_1.2.2.1.13</t>
  </si>
  <si>
    <t>J_2021_1.2.2.1.14</t>
  </si>
  <si>
    <t>J_2021_1.2.2.1.15</t>
  </si>
  <si>
    <t>J_2021_1.2.2.1.16</t>
  </si>
  <si>
    <t>J_2021_1.2.2.1.17</t>
  </si>
  <si>
    <t>J_2021_1.2.2.1.18</t>
  </si>
  <si>
    <t>J_2021_1.2.2.1.19</t>
  </si>
  <si>
    <t>J_2021_1.2.2.1.20</t>
  </si>
  <si>
    <t>J_2021_1.2.2.1.21</t>
  </si>
  <si>
    <t>J_2021_1.2.2.1.22</t>
  </si>
  <si>
    <t>J_2021_1.2.2.1.23</t>
  </si>
  <si>
    <t>J_2021_1.2.2.1.24</t>
  </si>
  <si>
    <t>Замена трансформаторов в ТП-1170</t>
  </si>
  <si>
    <t>J_2021_1.2.4.2.18</t>
  </si>
  <si>
    <r>
      <t>Год раскрытия информации:</t>
    </r>
    <r>
      <rPr>
        <u/>
        <sz val="16"/>
        <color theme="1"/>
        <rFont val="Times New Roman"/>
        <family val="1"/>
        <charset val="204"/>
      </rPr>
      <t xml:space="preserve"> 2021 год</t>
    </r>
  </si>
  <si>
    <r>
      <t>Год раскрытия информации:</t>
    </r>
    <r>
      <rPr>
        <u/>
        <sz val="18"/>
        <color theme="1"/>
        <rFont val="Times New Roman"/>
        <family val="1"/>
        <charset val="204"/>
      </rPr>
      <t xml:space="preserve"> 2021 год</t>
    </r>
  </si>
  <si>
    <t xml:space="preserve">КЛ-6 кВ от ТП-4620 до ТП-4682, от ТП-4620 до ТП-4903 </t>
  </si>
  <si>
    <t xml:space="preserve"> КЛ-6 кВ от ТП-257 до ТП-258</t>
  </si>
  <si>
    <t xml:space="preserve"> КЛ-0,4кВ от ТП-2951</t>
  </si>
  <si>
    <t>КЛ-0,4кВ от ТП-2851</t>
  </si>
  <si>
    <t xml:space="preserve"> КЛ-0,4кВ от ТП-2832</t>
  </si>
  <si>
    <t>КЛ-0,4кВ от ТП-2747</t>
  </si>
  <si>
    <t>КЛ-0,4кВ от ТП-1554</t>
  </si>
  <si>
    <t>КЛ-0,4кВ от ТП-483</t>
  </si>
  <si>
    <t xml:space="preserve"> КЛ-0,4кВ от ТП-396</t>
  </si>
  <si>
    <t>КЛ-0,4кВ от ТП-107</t>
  </si>
  <si>
    <t>КЛ-6кВ от ТП-2858 до ТП-2859</t>
  </si>
  <si>
    <t>КЛ-6 кВ от РТП-21 до ТП-2931</t>
  </si>
  <si>
    <r>
      <t>Год раскрытия информации:</t>
    </r>
    <r>
      <rPr>
        <u/>
        <sz val="24"/>
        <color theme="1"/>
        <rFont val="Times New Roman"/>
        <family val="1"/>
        <charset val="204"/>
      </rPr>
      <t xml:space="preserve"> 2021 год</t>
    </r>
  </si>
  <si>
    <r>
      <t xml:space="preserve">Год раскрытия информации: </t>
    </r>
    <r>
      <rPr>
        <u/>
        <sz val="12"/>
        <rFont val="Times New Roman"/>
        <family val="1"/>
        <charset val="204"/>
      </rPr>
      <t>2021</t>
    </r>
    <r>
      <rPr>
        <sz val="12"/>
        <rFont val="Times New Roman"/>
        <family val="1"/>
        <charset val="204"/>
      </rPr>
      <t xml:space="preserve"> год</t>
    </r>
  </si>
  <si>
    <t>от 24 апреля 2021 г.</t>
  </si>
  <si>
    <t xml:space="preserve">Минэкономразвития России. Сценарные условия, основные параметры прогноза социально-экономического развития Российской Федерации и прогнозируемые изменения цен (тарифов) на товары, услуги хозяйствующих субъектов, осуществляющих регулируемые виды деятельности в инфраструктурном секторе, на 2022 год и на плановый период 2023 и 2024 годов </t>
  </si>
  <si>
    <t>Прокладка ЛЭП-6 кВ от ПС "Академическая"  Ф. 27 до РП-6кВ в районе ул. Вертолетная, 1</t>
  </si>
  <si>
    <t>1.2.2.1.25</t>
  </si>
  <si>
    <t>Установка РП-6кВ с ВВ с установкой телеметрии в районе ул. Вертолетная, 1</t>
  </si>
  <si>
    <t>Замена КТПН-4649  в районе ул. Короленко, 5</t>
  </si>
  <si>
    <t>Замена МВ на ВВ с установкой телеметрии в РТП-23, РП-19</t>
  </si>
  <si>
    <r>
      <t>Фактический объем финансирования на 01.01.года 
(N-1)</t>
    </r>
    <r>
      <rPr>
        <vertAlign val="superscript"/>
        <sz val="20"/>
        <rFont val="Times New Roman"/>
        <family val="1"/>
        <charset val="204"/>
      </rPr>
      <t>3)</t>
    </r>
    <r>
      <rPr>
        <sz val="20"/>
        <rFont val="Times New Roman"/>
        <family val="1"/>
        <charset val="204"/>
      </rPr>
      <t xml:space="preserve">, млн рублей 
(с НДС) </t>
    </r>
  </si>
  <si>
    <r>
      <t>Факт 
(Предложение по корректировке утвержденного плана)</t>
    </r>
    <r>
      <rPr>
        <vertAlign val="superscript"/>
        <sz val="20"/>
        <rFont val="Times New Roman"/>
        <family val="1"/>
        <charset val="204"/>
      </rPr>
      <t>1)</t>
    </r>
  </si>
  <si>
    <r>
      <t>Факт 
(Предложение по корректировке утвержденного плана)</t>
    </r>
    <r>
      <rPr>
        <vertAlign val="superscript"/>
        <sz val="20"/>
        <rFont val="Times New Roman"/>
        <family val="1"/>
        <charset val="204"/>
      </rPr>
      <t xml:space="preserve">1) </t>
    </r>
    <r>
      <rPr>
        <sz val="20"/>
        <rFont val="Times New Roman"/>
        <family val="1"/>
        <charset val="204"/>
      </rPr>
      <t xml:space="preserve">
года 2020 год</t>
    </r>
  </si>
  <si>
    <r>
      <t>Факт 
(Предложение по корректировке утвержденного плана)</t>
    </r>
    <r>
      <rPr>
        <vertAlign val="superscript"/>
        <sz val="20"/>
        <rFont val="Times New Roman"/>
        <family val="1"/>
        <charset val="204"/>
      </rPr>
      <t xml:space="preserve">1) </t>
    </r>
    <r>
      <rPr>
        <sz val="20"/>
        <rFont val="Times New Roman"/>
        <family val="1"/>
        <charset val="204"/>
      </rPr>
      <t xml:space="preserve">
года (2021)</t>
    </r>
  </si>
  <si>
    <r>
      <t>Факт 
(Предложение по корректировке утвержденного плана)</t>
    </r>
    <r>
      <rPr>
        <vertAlign val="superscript"/>
        <sz val="20"/>
        <rFont val="Times New Roman"/>
        <family val="1"/>
        <charset val="204"/>
      </rPr>
      <t xml:space="preserve">1) </t>
    </r>
    <r>
      <rPr>
        <sz val="20"/>
        <rFont val="Times New Roman"/>
        <family val="1"/>
        <charset val="204"/>
      </rPr>
      <t xml:space="preserve">
года 2022</t>
    </r>
  </si>
  <si>
    <r>
      <t>Факт 
(Предложение по корректировке утвержденного плана)</t>
    </r>
    <r>
      <rPr>
        <vertAlign val="superscript"/>
        <sz val="20"/>
        <rFont val="Times New Roman"/>
        <family val="1"/>
        <charset val="204"/>
      </rPr>
      <t xml:space="preserve">1) </t>
    </r>
    <r>
      <rPr>
        <sz val="20"/>
        <rFont val="Times New Roman"/>
        <family val="1"/>
        <charset val="204"/>
      </rPr>
      <t xml:space="preserve">
года (2023)</t>
    </r>
  </si>
  <si>
    <r>
      <t>Факт 
(Предложение по корректировке утвержденного плана)</t>
    </r>
    <r>
      <rPr>
        <vertAlign val="superscript"/>
        <sz val="20"/>
        <rFont val="Times New Roman"/>
        <family val="1"/>
        <charset val="204"/>
      </rPr>
      <t xml:space="preserve">1) </t>
    </r>
    <r>
      <rPr>
        <sz val="20"/>
        <rFont val="Times New Roman"/>
        <family val="1"/>
        <charset val="204"/>
      </rPr>
      <t xml:space="preserve">
года (2024)</t>
    </r>
  </si>
  <si>
    <r>
      <t>План 
на 01.01.года X</t>
    </r>
    <r>
      <rPr>
        <vertAlign val="superscript"/>
        <sz val="20"/>
        <rFont val="Times New Roman"/>
        <family val="1"/>
        <charset val="204"/>
      </rPr>
      <t>4)</t>
    </r>
  </si>
  <si>
    <t>нл</t>
  </si>
  <si>
    <t>Замена МВ на ВВ с установкой телемеханики в РТП-17</t>
  </si>
  <si>
    <t>J_2022_1.2.2.1.25</t>
  </si>
  <si>
    <t>J_2022_1.2.4.2.19</t>
  </si>
  <si>
    <t xml:space="preserve">Установка приборов учета, класс напряжения 0,22 (0,4) кВ с  модернизацией серверной  МУПВ "ВПЭС" для управления интеликтуальной системой учета </t>
  </si>
  <si>
    <t xml:space="preserve">И.о. Директора МУПВ "ВПЭС" </t>
  </si>
  <si>
    <t xml:space="preserve">И.о. директора  МУПВ "ВПЭС" </t>
  </si>
  <si>
    <t>J_2022_1.2.4.2.18</t>
  </si>
  <si>
    <t>J_2024_1.2.4.2.18</t>
  </si>
  <si>
    <t>J_2024_1.2.4.2.19</t>
  </si>
  <si>
    <t>J_2022_1.2.4.2.20</t>
  </si>
  <si>
    <t>J_2022_1.2.4.2.21</t>
  </si>
  <si>
    <t>КЛ-6кВ от ПС "Академическая" до РП-6 кВ</t>
  </si>
  <si>
    <t>Установка РП-6кВ в районе ул. Вертолетная</t>
  </si>
  <si>
    <t>Замена ТП-4649 на КТПН</t>
  </si>
  <si>
    <t xml:space="preserve">И.о. директора МУПВ "ВПЭС" </t>
  </si>
  <si>
    <t xml:space="preserve">Установка приборов учета, класс напряжения 0,22 (0,4) кВ </t>
  </si>
  <si>
    <t>М.И.Никуленко</t>
  </si>
  <si>
    <t xml:space="preserve">И.о.директора МУПВ "ВПЭС" </t>
  </si>
  <si>
    <t>И.о. директора МУПВ "ВПЭС"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</si>
</sst>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_р_._-;\-* #,##0.00_р_._-;_-* &quot;-&quot;??_р_._-;_-@_-"/>
    <numFmt numFmtId="166" formatCode="#,##0_ ;\-#,##0\ "/>
    <numFmt numFmtId="167" formatCode="_-* #,##0.00\ _р_._-;\-* #,##0.00\ _р_._-;_-* &quot;-&quot;??\ _р_._-;_-@_-"/>
    <numFmt numFmtId="168" formatCode="0.000"/>
    <numFmt numFmtId="169" formatCode="0.0"/>
    <numFmt numFmtId="170" formatCode="#,##0.000"/>
    <numFmt numFmtId="171" formatCode="_-* #,##0.000_р_._-;\-* #,##0.000_р_._-;_-* &quot;-&quot;??_р_._-;_-@_-"/>
    <numFmt numFmtId="172" formatCode="_-* #,##0.000\ _₽_-;\-* #,##0.000\ _₽_-;_-* &quot;-&quot;???\ _₽_-;_-@_-"/>
    <numFmt numFmtId="173" formatCode="_-* #,##0_р_._-;\-* #,##0_р_._-;_-* &quot;-&quot;??_р_._-;_-@_-"/>
    <numFmt numFmtId="174" formatCode="_-* #,##0.0_р_._-;\-* #,##0.0_р_._-;_-* &quot;-&quot;??_р_._-;_-@_-"/>
  </numFmts>
  <fonts count="154"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name val="Times New Roman"/>
      <family val="1"/>
      <charset val="204"/>
    </font>
    <font>
      <sz val="11"/>
      <name val="Times New Roman"/>
      <family val="1"/>
      <charset val="204"/>
    </font>
    <font>
      <sz val="11"/>
      <color theme="1"/>
      <name val="Calibri"/>
      <family val="2"/>
      <scheme val="minor"/>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i/>
      <sz val="11"/>
      <name val="Calibri"/>
      <family val="2"/>
      <charset val="204"/>
    </font>
    <font>
      <sz val="11"/>
      <name val="Calibri"/>
      <family val="2"/>
      <charset val="204"/>
    </font>
    <font>
      <b/>
      <i/>
      <sz val="11"/>
      <name val="Calibri"/>
      <family val="2"/>
      <charset val="204"/>
    </font>
    <font>
      <b/>
      <sz val="11"/>
      <name val="Calibri"/>
      <family val="2"/>
      <charset val="204"/>
    </font>
    <font>
      <sz val="11"/>
      <color theme="5" tint="0.39997558519241921"/>
      <name val="Times New Roman"/>
      <family val="1"/>
      <charset val="204"/>
    </font>
    <font>
      <b/>
      <i/>
      <sz val="11"/>
      <color theme="1"/>
      <name val="Calibri"/>
      <family val="2"/>
      <charset val="204"/>
      <scheme val="minor"/>
    </font>
    <font>
      <sz val="10"/>
      <name val="Helv"/>
    </font>
    <font>
      <vertAlign val="superscript"/>
      <sz val="11"/>
      <color theme="1"/>
      <name val="Times New Roman"/>
      <family val="1"/>
      <charset val="204"/>
    </font>
    <font>
      <vertAlign val="superscript"/>
      <sz val="12"/>
      <color theme="1"/>
      <name val="Times New Roman"/>
      <family val="1"/>
      <charset val="204"/>
    </font>
    <font>
      <sz val="9"/>
      <color indexed="81"/>
      <name val="Tahoma"/>
      <family val="2"/>
      <charset val="204"/>
    </font>
    <font>
      <b/>
      <sz val="9"/>
      <color indexed="81"/>
      <name val="Tahoma"/>
      <family val="2"/>
      <charset val="204"/>
    </font>
    <font>
      <u/>
      <sz val="12"/>
      <name val="Times New Roman"/>
      <family val="1"/>
      <charset val="204"/>
    </font>
    <font>
      <sz val="16"/>
      <color theme="1"/>
      <name val="Arial"/>
      <family val="2"/>
      <charset val="204"/>
    </font>
    <font>
      <sz val="18"/>
      <color theme="1"/>
      <name val="Times New Roman"/>
      <family val="1"/>
      <charset val="204"/>
    </font>
    <font>
      <sz val="16"/>
      <color theme="1"/>
      <name val="Times New Roman"/>
      <family val="1"/>
      <charset val="204"/>
    </font>
    <font>
      <sz val="16"/>
      <name val="Times New Roman"/>
      <family val="1"/>
      <charset val="204"/>
    </font>
    <font>
      <b/>
      <sz val="16"/>
      <color theme="1"/>
      <name val="Times New Roman"/>
      <family val="1"/>
      <charset val="204"/>
    </font>
    <font>
      <b/>
      <u/>
      <sz val="16"/>
      <color theme="1"/>
      <name val="Times New Roman"/>
      <family val="1"/>
      <charset val="204"/>
    </font>
    <font>
      <u/>
      <sz val="16"/>
      <color theme="1"/>
      <name val="Times New Roman"/>
      <family val="1"/>
      <charset val="204"/>
    </font>
    <font>
      <b/>
      <sz val="18"/>
      <color theme="1"/>
      <name val="Times New Roman"/>
      <family val="1"/>
      <charset val="204"/>
    </font>
    <font>
      <sz val="20"/>
      <color theme="1"/>
      <name val="Times New Roman"/>
      <family val="1"/>
      <charset val="204"/>
    </font>
    <font>
      <sz val="16"/>
      <color theme="1"/>
      <name val="Calibri"/>
      <family val="2"/>
      <charset val="204"/>
    </font>
    <font>
      <b/>
      <sz val="16"/>
      <name val="Times New Roman"/>
      <family val="1"/>
      <charset val="204"/>
    </font>
    <font>
      <vertAlign val="superscript"/>
      <sz val="16"/>
      <name val="Times New Roman"/>
      <family val="1"/>
      <charset val="204"/>
    </font>
    <font>
      <b/>
      <sz val="16"/>
      <color rgb="FF000000"/>
      <name val="Times New Roman"/>
      <family val="1"/>
      <charset val="204"/>
    </font>
    <font>
      <sz val="16"/>
      <color rgb="FF000000"/>
      <name val="Times New Roman"/>
      <family val="1"/>
      <charset val="204"/>
    </font>
    <font>
      <sz val="16"/>
      <color rgb="FF000000"/>
      <name val="Calibri"/>
      <family val="2"/>
      <charset val="204"/>
    </font>
    <font>
      <sz val="16"/>
      <name val="Arial"/>
      <family val="2"/>
      <charset val="204"/>
    </font>
    <font>
      <b/>
      <sz val="16"/>
      <color theme="1"/>
      <name val="Arial"/>
      <family val="2"/>
      <charset val="204"/>
    </font>
    <font>
      <sz val="24"/>
      <color theme="1"/>
      <name val="Times New Roman"/>
      <family val="1"/>
      <charset val="204"/>
    </font>
    <font>
      <sz val="26"/>
      <color theme="1"/>
      <name val="Times New Roman"/>
      <family val="1"/>
      <charset val="204"/>
    </font>
    <font>
      <sz val="28"/>
      <color theme="1"/>
      <name val="Times New Roman"/>
      <family val="1"/>
      <charset val="204"/>
    </font>
    <font>
      <b/>
      <sz val="22"/>
      <name val="Times New Roman"/>
      <family val="1"/>
      <charset val="204"/>
    </font>
    <font>
      <sz val="22"/>
      <name val="Times New Roman"/>
      <family val="1"/>
      <charset val="204"/>
    </font>
    <font>
      <b/>
      <sz val="24"/>
      <name val="Times New Roman"/>
      <family val="1"/>
      <charset val="204"/>
    </font>
    <font>
      <sz val="24"/>
      <name val="Times New Roman"/>
      <family val="1"/>
      <charset val="204"/>
    </font>
    <font>
      <sz val="26"/>
      <name val="Times New Roman"/>
      <family val="1"/>
      <charset val="204"/>
    </font>
    <font>
      <sz val="28"/>
      <name val="Times New Roman"/>
      <family val="1"/>
      <charset val="204"/>
    </font>
    <font>
      <b/>
      <sz val="24"/>
      <color theme="1"/>
      <name val="Times New Roman"/>
      <family val="1"/>
      <charset val="204"/>
    </font>
    <font>
      <b/>
      <sz val="24"/>
      <color rgb="FF000000"/>
      <name val="Times New Roman"/>
      <family val="1"/>
      <charset val="204"/>
    </font>
    <font>
      <u/>
      <sz val="24"/>
      <color theme="1"/>
      <name val="Times New Roman"/>
      <family val="1"/>
      <charset val="204"/>
    </font>
    <font>
      <sz val="24"/>
      <color theme="1"/>
      <name val="Arial"/>
      <family val="2"/>
      <charset val="204"/>
    </font>
    <font>
      <sz val="26"/>
      <color theme="1"/>
      <name val="Arial"/>
      <family val="2"/>
      <charset val="204"/>
    </font>
    <font>
      <b/>
      <sz val="18"/>
      <name val="Times New Roman"/>
      <family val="1"/>
      <charset val="204"/>
    </font>
    <font>
      <sz val="18"/>
      <name val="Times New Roman"/>
      <family val="1"/>
      <charset val="204"/>
    </font>
    <font>
      <b/>
      <u/>
      <sz val="18"/>
      <color theme="1"/>
      <name val="Times New Roman"/>
      <family val="1"/>
      <charset val="204"/>
    </font>
    <font>
      <u/>
      <sz val="18"/>
      <color theme="1"/>
      <name val="Times New Roman"/>
      <family val="1"/>
      <charset val="204"/>
    </font>
    <font>
      <sz val="18"/>
      <color theme="1"/>
      <name val="Calibri"/>
      <family val="2"/>
      <charset val="204"/>
    </font>
    <font>
      <b/>
      <sz val="20"/>
      <color theme="1"/>
      <name val="Times New Roman"/>
      <family val="1"/>
      <charset val="204"/>
    </font>
    <font>
      <sz val="20"/>
      <name val="Times New Roman"/>
      <family val="1"/>
      <charset val="204"/>
    </font>
    <font>
      <sz val="22"/>
      <color theme="1"/>
      <name val="Times New Roman"/>
      <family val="1"/>
      <charset val="204"/>
    </font>
    <font>
      <b/>
      <sz val="20"/>
      <name val="Times New Roman"/>
      <family val="1"/>
      <charset val="204"/>
    </font>
    <font>
      <b/>
      <sz val="18"/>
      <color rgb="FF000000"/>
      <name val="Times New Roman"/>
      <family val="1"/>
      <charset val="204"/>
    </font>
    <font>
      <sz val="18"/>
      <color rgb="FF000000"/>
      <name val="Times New Roman"/>
      <family val="1"/>
      <charset val="204"/>
    </font>
    <font>
      <sz val="18"/>
      <color rgb="FF000000"/>
      <name val="Calibri"/>
      <family val="2"/>
      <charset val="204"/>
    </font>
    <font>
      <b/>
      <u/>
      <sz val="24"/>
      <color theme="1"/>
      <name val="Times New Roman"/>
      <family val="1"/>
      <charset val="204"/>
    </font>
    <font>
      <sz val="30"/>
      <color theme="1"/>
      <name val="Times New Roman"/>
      <family val="1"/>
      <charset val="204"/>
    </font>
    <font>
      <b/>
      <sz val="28"/>
      <name val="Times New Roman"/>
      <family val="1"/>
      <charset val="204"/>
    </font>
    <font>
      <u/>
      <sz val="28"/>
      <color theme="1"/>
      <name val="Times New Roman"/>
      <family val="1"/>
      <charset val="204"/>
    </font>
    <font>
      <b/>
      <sz val="28"/>
      <color theme="1"/>
      <name val="Times New Roman"/>
      <family val="1"/>
      <charset val="204"/>
    </font>
    <font>
      <u/>
      <sz val="18"/>
      <name val="Times New Roman"/>
      <family val="1"/>
      <charset val="204"/>
    </font>
    <font>
      <u/>
      <sz val="16"/>
      <name val="Times New Roman"/>
      <family val="1"/>
      <charset val="204"/>
    </font>
    <font>
      <sz val="16"/>
      <color theme="0"/>
      <name val="Times New Roman"/>
      <family val="1"/>
      <charset val="204"/>
    </font>
    <font>
      <b/>
      <sz val="16"/>
      <color theme="0"/>
      <name val="Times New Roman"/>
      <family val="1"/>
      <charset val="204"/>
    </font>
    <font>
      <sz val="28"/>
      <color theme="0"/>
      <name val="Times New Roman"/>
      <family val="1"/>
      <charset val="204"/>
    </font>
    <font>
      <sz val="9"/>
      <color theme="1"/>
      <name val="Times New Roman"/>
      <family val="1"/>
      <charset val="204"/>
    </font>
    <font>
      <b/>
      <sz val="22"/>
      <color theme="1"/>
      <name val="Times New Roman"/>
      <family val="1"/>
      <charset val="204"/>
    </font>
    <font>
      <sz val="22"/>
      <color theme="0"/>
      <name val="Times New Roman"/>
      <family val="1"/>
      <charset val="204"/>
    </font>
    <font>
      <u/>
      <sz val="14"/>
      <color theme="1"/>
      <name val="Times New Roman"/>
      <family val="1"/>
      <charset val="204"/>
    </font>
    <font>
      <sz val="10"/>
      <name val="Times New Roman"/>
      <family val="1"/>
      <charset val="204"/>
    </font>
    <font>
      <sz val="9"/>
      <name val="Times New Roman"/>
      <family val="1"/>
      <charset val="204"/>
    </font>
    <font>
      <sz val="10"/>
      <name val="Times New Roman CYR"/>
    </font>
    <font>
      <sz val="12"/>
      <name val="Times New Roman CYR"/>
    </font>
    <font>
      <sz val="10"/>
      <name val="Times New Roman CYR"/>
      <charset val="204"/>
    </font>
    <font>
      <sz val="7"/>
      <name val="Times New Roman"/>
      <family val="1"/>
      <charset val="204"/>
    </font>
    <font>
      <b/>
      <sz val="9"/>
      <name val="Times New Roman"/>
      <family val="1"/>
      <charset val="204"/>
    </font>
    <font>
      <b/>
      <sz val="7"/>
      <name val="Times New Roman"/>
      <family val="1"/>
      <charset val="204"/>
    </font>
    <font>
      <sz val="5.5"/>
      <name val="Times New Roman"/>
      <family val="1"/>
      <charset val="204"/>
    </font>
    <font>
      <b/>
      <sz val="5.75"/>
      <name val="Times New Roman"/>
      <family val="1"/>
      <charset val="204"/>
    </font>
    <font>
      <i/>
      <sz val="5.75"/>
      <name val="Times New Roman"/>
      <family val="1"/>
      <charset val="204"/>
    </font>
    <font>
      <sz val="5.75"/>
      <name val="Times New Roman"/>
      <family val="1"/>
      <charset val="204"/>
    </font>
    <font>
      <sz val="5.85"/>
      <name val="Times New Roman"/>
      <family val="1"/>
      <charset val="204"/>
    </font>
    <font>
      <b/>
      <i/>
      <sz val="5.85"/>
      <name val="Times New Roman"/>
      <family val="1"/>
      <charset val="204"/>
    </font>
    <font>
      <b/>
      <sz val="5.85"/>
      <name val="Times New Roman"/>
      <family val="1"/>
      <charset val="204"/>
    </font>
    <font>
      <sz val="5.85"/>
      <color rgb="FFFF0000"/>
      <name val="Times New Roman"/>
      <family val="1"/>
      <charset val="204"/>
    </font>
    <font>
      <i/>
      <sz val="5.85"/>
      <name val="Times New Roman"/>
      <family val="1"/>
      <charset val="204"/>
    </font>
    <font>
      <sz val="6"/>
      <name val="Times New Roman"/>
      <family val="1"/>
      <charset val="204"/>
    </font>
    <font>
      <sz val="5.85"/>
      <color indexed="9"/>
      <name val="Times New Roman"/>
      <family val="1"/>
      <charset val="204"/>
    </font>
    <font>
      <b/>
      <sz val="5.75"/>
      <color theme="0" tint="-4.9989318521683403E-2"/>
      <name val="Times New Roman"/>
      <family val="1"/>
      <charset val="204"/>
    </font>
    <font>
      <i/>
      <sz val="5.75"/>
      <color theme="0" tint="-4.9989318521683403E-2"/>
      <name val="Times New Roman"/>
      <family val="1"/>
      <charset val="204"/>
    </font>
    <font>
      <sz val="5.75"/>
      <color theme="0" tint="-4.9989318521683403E-2"/>
      <name val="Times New Roman"/>
      <family val="1"/>
      <charset val="204"/>
    </font>
    <font>
      <b/>
      <sz val="5.85"/>
      <color theme="0" tint="-4.9989318521683403E-2"/>
      <name val="Times New Roman"/>
      <family val="1"/>
      <charset val="204"/>
    </font>
    <font>
      <sz val="5.85"/>
      <color theme="0" tint="-4.9989318521683403E-2"/>
      <name val="Times New Roman"/>
      <family val="1"/>
      <charset val="204"/>
    </font>
    <font>
      <vertAlign val="superscript"/>
      <sz val="20"/>
      <name val="Times New Roman"/>
      <family val="1"/>
      <charset val="204"/>
    </font>
    <font>
      <sz val="8"/>
      <color theme="1"/>
      <name val="Times New Roman"/>
      <family val="1"/>
      <charset val="204"/>
    </font>
    <font>
      <sz val="14"/>
      <color rgb="FF000000"/>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s>
  <cellStyleXfs count="352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6" fillId="0" borderId="0"/>
    <xf numFmtId="0" fontId="16" fillId="0" borderId="0"/>
    <xf numFmtId="0" fontId="31" fillId="3" borderId="0" applyNumberFormat="0" applyBorder="0" applyAlignment="0" applyProtection="0"/>
    <xf numFmtId="0" fontId="32" fillId="0" borderId="0" applyNumberFormat="0" applyFill="0" applyBorder="0" applyAlignment="0" applyProtection="0"/>
    <xf numFmtId="0" fontId="19" fillId="23" borderId="8" applyNumberFormat="0" applyFont="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8" fillId="0" borderId="0"/>
    <xf numFmtId="0" fontId="38" fillId="0" borderId="0"/>
    <xf numFmtId="0" fontId="16" fillId="0" borderId="0"/>
    <xf numFmtId="0" fontId="15" fillId="0" borderId="0"/>
    <xf numFmtId="0" fontId="46" fillId="0" borderId="0"/>
    <xf numFmtId="0" fontId="46" fillId="0" borderId="0"/>
    <xf numFmtId="165" fontId="15" fillId="0" borderId="0" applyFont="0" applyFill="0" applyBorder="0" applyAlignment="0" applyProtection="0"/>
    <xf numFmtId="166" fontId="46" fillId="0" borderId="0" applyFont="0" applyFill="0" applyBorder="0" applyAlignment="0" applyProtection="0"/>
    <xf numFmtId="167" fontId="15" fillId="0" borderId="0" applyFont="0" applyFill="0" applyBorder="0" applyAlignment="0" applyProtection="0"/>
    <xf numFmtId="0" fontId="14" fillId="0" borderId="0"/>
    <xf numFmtId="0" fontId="13" fillId="0" borderId="0"/>
    <xf numFmtId="0" fontId="51" fillId="0" borderId="0"/>
    <xf numFmtId="0" fontId="16" fillId="0" borderId="0"/>
    <xf numFmtId="0" fontId="16" fillId="0" borderId="0"/>
    <xf numFmtId="0" fontId="16"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6" fillId="0" borderId="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19" fillId="23" borderId="8" applyNumberFormat="0" applyFont="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11" fillId="0" borderId="0"/>
    <xf numFmtId="0" fontId="16" fillId="0" borderId="0"/>
    <xf numFmtId="9" fontId="46" fillId="0" borderId="0" applyFont="0" applyFill="0" applyBorder="0" applyAlignment="0" applyProtection="0"/>
    <xf numFmtId="9" fontId="16" fillId="0" borderId="0" applyFont="0" applyFill="0" applyBorder="0" applyAlignment="0" applyProtection="0"/>
    <xf numFmtId="0" fontId="64" fillId="0" borderId="0"/>
    <xf numFmtId="0" fontId="10" fillId="0" borderId="0"/>
    <xf numFmtId="0" fontId="36" fillId="0" borderId="0"/>
    <xf numFmtId="0" fontId="9" fillId="0" borderId="0"/>
    <xf numFmtId="0" fontId="9" fillId="0" borderId="0"/>
    <xf numFmtId="0" fontId="8" fillId="0" borderId="0"/>
    <xf numFmtId="165"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5" fillId="0" borderId="0"/>
    <xf numFmtId="165"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 fillId="0" borderId="0"/>
    <xf numFmtId="165"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0" borderId="0"/>
    <xf numFmtId="165" fontId="3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cellStyleXfs>
  <cellXfs count="1574">
    <xf numFmtId="0" fontId="0" fillId="0" borderId="0" xfId="0"/>
    <xf numFmtId="0" fontId="16" fillId="0" borderId="0" xfId="0" applyFont="1"/>
    <xf numFmtId="0" fontId="16" fillId="0" borderId="0" xfId="0" applyFont="1" applyFill="1"/>
    <xf numFmtId="0" fontId="16" fillId="0" borderId="0" xfId="0" applyFont="1" applyAlignment="1">
      <alignment horizontal="right"/>
    </xf>
    <xf numFmtId="0" fontId="16" fillId="0" borderId="0" xfId="0" applyFont="1" applyFill="1" applyAlignment="1">
      <alignment horizontal="right"/>
    </xf>
    <xf numFmtId="0" fontId="37" fillId="0" borderId="0" xfId="37" applyFont="1"/>
    <xf numFmtId="0" fontId="37" fillId="0" borderId="0" xfId="37" applyFont="1" applyAlignment="1">
      <alignment vertical="center"/>
    </xf>
    <xf numFmtId="0" fontId="37" fillId="0" borderId="0" xfId="37" applyFont="1" applyAlignment="1">
      <alignment horizontal="right" vertical="center"/>
    </xf>
    <xf numFmtId="0" fontId="37" fillId="0" borderId="0" xfId="37" applyFont="1" applyAlignment="1">
      <alignment horizontal="center" vertical="center"/>
    </xf>
    <xf numFmtId="0" fontId="37" fillId="0" borderId="0" xfId="37" applyFont="1" applyFill="1" applyAlignment="1">
      <alignment vertical="center"/>
    </xf>
    <xf numFmtId="0" fontId="44" fillId="0" borderId="0" xfId="37" applyFont="1" applyAlignment="1"/>
    <xf numFmtId="0" fontId="47" fillId="0" borderId="0" xfId="37" applyFont="1" applyAlignment="1">
      <alignment horizontal="right"/>
    </xf>
    <xf numFmtId="0" fontId="37" fillId="0" borderId="0" xfId="37" applyFont="1" applyFill="1"/>
    <xf numFmtId="0" fontId="16" fillId="0" borderId="0" xfId="0" applyFont="1" applyFill="1" applyAlignment="1"/>
    <xf numFmtId="0" fontId="41" fillId="0" borderId="0" xfId="45" applyFont="1" applyFill="1" applyBorder="1" applyAlignment="1">
      <alignment horizontal="center" vertical="center"/>
    </xf>
    <xf numFmtId="0" fontId="16" fillId="0" borderId="10" xfId="0" applyFont="1" applyBorder="1"/>
    <xf numFmtId="0" fontId="47" fillId="0" borderId="0" xfId="37" applyFont="1" applyAlignment="1">
      <alignment horizontal="right" vertical="center"/>
    </xf>
    <xf numFmtId="0" fontId="42" fillId="0" borderId="0" xfId="55" applyFont="1"/>
    <xf numFmtId="0" fontId="52" fillId="0" borderId="0" xfId="55" applyFont="1"/>
    <xf numFmtId="0" fontId="53" fillId="0" borderId="0" xfId="55" applyFont="1"/>
    <xf numFmtId="0" fontId="42"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6" fillId="0" borderId="10" xfId="46" applyFont="1" applyBorder="1" applyAlignment="1">
      <alignment horizontal="center" vertical="center" textRotation="90" wrapText="1"/>
    </xf>
    <xf numFmtId="0" fontId="40" fillId="0" borderId="10" xfId="45" applyFont="1" applyBorder="1" applyAlignment="1">
      <alignment horizontal="center" vertical="center"/>
    </xf>
    <xf numFmtId="0" fontId="39" fillId="0" borderId="0" xfId="44" applyFont="1" applyFill="1" applyBorder="1" applyAlignment="1"/>
    <xf numFmtId="0" fontId="16" fillId="0" borderId="0" xfId="0" applyFont="1" applyAlignment="1">
      <alignment horizontal="left"/>
    </xf>
    <xf numFmtId="0" fontId="37" fillId="0" borderId="10" xfId="37" applyFont="1" applyFill="1" applyBorder="1" applyAlignment="1">
      <alignment horizontal="center" vertical="center"/>
    </xf>
    <xf numFmtId="49" fontId="42" fillId="0" borderId="10" xfId="55" applyNumberFormat="1" applyFont="1" applyBorder="1" applyAlignment="1">
      <alignment horizontal="center" vertical="center"/>
    </xf>
    <xf numFmtId="0" fontId="49" fillId="0" borderId="0" xfId="57" applyFont="1" applyAlignment="1">
      <alignment horizontal="center" wrapText="1"/>
    </xf>
    <xf numFmtId="0" fontId="42" fillId="0" borderId="0" xfId="55" applyFont="1" applyAlignment="1">
      <alignment vertical="center"/>
    </xf>
    <xf numFmtId="0" fontId="37" fillId="0" borderId="0" xfId="37" applyFont="1" applyAlignment="1">
      <alignment horizontal="center"/>
    </xf>
    <xf numFmtId="0" fontId="45" fillId="0" borderId="0" xfId="37" applyFont="1" applyAlignment="1">
      <alignment horizontal="center" vertical="center" wrapText="1"/>
    </xf>
    <xf numFmtId="0" fontId="37" fillId="0" borderId="0" xfId="37" applyFont="1" applyAlignment="1">
      <alignment horizontal="center" vertical="center" wrapText="1"/>
    </xf>
    <xf numFmtId="0" fontId="37" fillId="0" borderId="10" xfId="37" applyFont="1" applyBorder="1" applyAlignment="1">
      <alignment vertical="center" wrapText="1"/>
    </xf>
    <xf numFmtId="3" fontId="37" fillId="0" borderId="10" xfId="37" applyNumberFormat="1" applyFont="1" applyBorder="1" applyAlignment="1">
      <alignment horizontal="center" vertical="center"/>
    </xf>
    <xf numFmtId="0" fontId="37" fillId="0" borderId="0" xfId="37" applyFont="1" applyFill="1" applyAlignment="1">
      <alignment wrapText="1"/>
    </xf>
    <xf numFmtId="0" fontId="58" fillId="0" borderId="0" xfId="37" applyFont="1" applyFill="1" applyBorder="1" applyAlignment="1">
      <alignment horizontal="center" vertical="center"/>
    </xf>
    <xf numFmtId="0" fontId="50" fillId="0" borderId="0" xfId="37" applyFont="1" applyFill="1" applyBorder="1" applyAlignment="1">
      <alignment horizontal="center" vertical="center"/>
    </xf>
    <xf numFmtId="3" fontId="50" fillId="0" borderId="0" xfId="37" applyNumberFormat="1" applyFont="1" applyFill="1" applyBorder="1" applyAlignment="1">
      <alignment horizontal="center" vertical="center"/>
    </xf>
    <xf numFmtId="0" fontId="37" fillId="0" borderId="0" xfId="37" applyFont="1" applyBorder="1" applyAlignment="1">
      <alignment horizontal="center" vertical="center"/>
    </xf>
    <xf numFmtId="0" fontId="37" fillId="0" borderId="0" xfId="37" applyFont="1" applyBorder="1" applyAlignment="1">
      <alignment vertical="center"/>
    </xf>
    <xf numFmtId="0" fontId="59" fillId="0" borderId="0" xfId="37" applyFont="1" applyFill="1" applyBorder="1" applyAlignment="1">
      <alignment vertical="center"/>
    </xf>
    <xf numFmtId="0" fontId="60" fillId="0" borderId="0" xfId="37" applyFont="1" applyFill="1" applyBorder="1" applyAlignment="1">
      <alignment vertical="center"/>
    </xf>
    <xf numFmtId="0" fontId="60" fillId="0" borderId="0" xfId="37" applyFont="1" applyFill="1" applyBorder="1" applyAlignment="1">
      <alignment horizontal="left" vertical="center" wrapText="1"/>
    </xf>
    <xf numFmtId="0" fontId="61" fillId="0" borderId="0" xfId="37" applyFont="1" applyFill="1" applyBorder="1" applyAlignment="1">
      <alignment horizontal="left" vertical="center" wrapText="1"/>
    </xf>
    <xf numFmtId="0" fontId="59" fillId="0" borderId="0" xfId="37" applyFont="1" applyFill="1" applyBorder="1" applyAlignment="1">
      <alignment horizontal="center" vertical="center" wrapText="1"/>
    </xf>
    <xf numFmtId="0" fontId="60" fillId="0" borderId="0" xfId="37" applyFont="1" applyFill="1" applyBorder="1" applyAlignment="1">
      <alignment horizontal="center" vertical="center" wrapText="1"/>
    </xf>
    <xf numFmtId="0" fontId="37" fillId="0" borderId="10" xfId="37" applyFont="1" applyBorder="1" applyAlignment="1">
      <alignment horizontal="center"/>
    </xf>
    <xf numFmtId="0" fontId="37" fillId="0" borderId="10" xfId="37" applyFont="1" applyBorder="1"/>
    <xf numFmtId="0" fontId="37" fillId="0" borderId="10" xfId="37" applyFont="1" applyBorder="1" applyAlignment="1">
      <alignment vertical="center"/>
    </xf>
    <xf numFmtId="0" fontId="62" fillId="0" borderId="0" xfId="37" applyFont="1" applyFill="1" applyAlignment="1">
      <alignment wrapText="1"/>
    </xf>
    <xf numFmtId="0" fontId="37" fillId="0" borderId="0" xfId="37" applyFont="1" applyFill="1" applyAlignment="1">
      <alignment horizontal="center"/>
    </xf>
    <xf numFmtId="0" fontId="60" fillId="0" borderId="0" xfId="37" applyFont="1" applyFill="1" applyBorder="1" applyAlignment="1">
      <alignment horizontal="center" vertical="center"/>
    </xf>
    <xf numFmtId="0" fontId="16" fillId="0" borderId="0" xfId="37" applyFont="1" applyFill="1" applyBorder="1" applyAlignment="1">
      <alignment horizontal="center" vertical="center"/>
    </xf>
    <xf numFmtId="0" fontId="63" fillId="0" borderId="0" xfId="37" applyFont="1" applyFill="1" applyBorder="1" applyAlignment="1">
      <alignment horizontal="center" vertical="center"/>
    </xf>
    <xf numFmtId="0" fontId="47" fillId="0" borderId="0" xfId="0" applyFont="1" applyFill="1" applyAlignment="1"/>
    <xf numFmtId="0" fontId="49" fillId="0" borderId="0" xfId="57" applyFont="1" applyAlignment="1">
      <alignment wrapText="1"/>
    </xf>
    <xf numFmtId="49" fontId="42" fillId="0" borderId="10" xfId="55" applyNumberFormat="1" applyFont="1" applyFill="1" applyBorder="1" applyAlignment="1">
      <alignment horizontal="center" vertical="center"/>
    </xf>
    <xf numFmtId="0" fontId="37" fillId="0" borderId="10" xfId="37" applyFont="1" applyBorder="1" applyAlignment="1">
      <alignment horizontal="center" vertical="center" textRotation="90"/>
    </xf>
    <xf numFmtId="14" fontId="37" fillId="0" borderId="10" xfId="37" applyNumberFormat="1" applyFont="1" applyBorder="1" applyAlignment="1">
      <alignment horizontal="center" vertical="center"/>
    </xf>
    <xf numFmtId="0" fontId="42" fillId="0" borderId="10" xfId="55" applyFont="1" applyBorder="1" applyAlignment="1">
      <alignment horizontal="center" vertical="center" wrapText="1"/>
    </xf>
    <xf numFmtId="0" fontId="16" fillId="0" borderId="0" xfId="0" applyFont="1" applyFill="1"/>
    <xf numFmtId="0" fontId="37" fillId="0" borderId="0" xfId="37" applyFont="1"/>
    <xf numFmtId="0" fontId="54" fillId="0" borderId="0" xfId="55" applyFont="1" applyAlignment="1">
      <alignment horizontal="left" vertical="center"/>
    </xf>
    <xf numFmtId="0" fontId="42" fillId="0" borderId="0" xfId="55" applyFont="1" applyAlignment="1">
      <alignment vertical="top"/>
    </xf>
    <xf numFmtId="0" fontId="16" fillId="0" borderId="0" xfId="0" applyFont="1" applyFill="1" applyAlignment="1">
      <alignment vertical="center"/>
    </xf>
    <xf numFmtId="0" fontId="43" fillId="0" borderId="0" xfId="55" applyFont="1" applyAlignment="1">
      <alignment vertical="center"/>
    </xf>
    <xf numFmtId="0" fontId="16" fillId="0" borderId="10" xfId="0" applyFont="1" applyBorder="1" applyAlignment="1">
      <alignment horizontal="center" vertical="center"/>
    </xf>
    <xf numFmtId="0" fontId="42" fillId="0" borderId="0" xfId="55" applyFont="1" applyAlignment="1">
      <alignment horizontal="center" vertical="top"/>
    </xf>
    <xf numFmtId="0" fontId="37" fillId="0" borderId="0" xfId="37" applyFont="1" applyAlignment="1">
      <alignment horizontal="left"/>
    </xf>
    <xf numFmtId="0" fontId="43" fillId="0" borderId="10" xfId="55" applyFont="1" applyBorder="1" applyAlignment="1">
      <alignment horizontal="center" vertical="center" wrapText="1"/>
    </xf>
    <xf numFmtId="0" fontId="37" fillId="0" borderId="0" xfId="37" applyFont="1"/>
    <xf numFmtId="0" fontId="17" fillId="0" borderId="0" xfId="0" applyFont="1" applyFill="1" applyAlignment="1"/>
    <xf numFmtId="0" fontId="37" fillId="0" borderId="0" xfId="37" applyFont="1" applyAlignment="1"/>
    <xf numFmtId="0" fontId="16" fillId="0" borderId="10" xfId="0" applyFont="1" applyBorder="1" applyAlignment="1">
      <alignment horizontal="center" vertical="center" wrapText="1"/>
    </xf>
    <xf numFmtId="0" fontId="17" fillId="0" borderId="0" xfId="0" applyFont="1" applyFill="1" applyAlignment="1">
      <alignment horizontal="center"/>
    </xf>
    <xf numFmtId="0" fontId="37" fillId="0" borderId="0" xfId="37" applyFont="1" applyAlignment="1">
      <alignment horizontal="center"/>
    </xf>
    <xf numFmtId="0" fontId="44" fillId="0" borderId="0" xfId="37" applyFont="1" applyAlignment="1">
      <alignment horizontal="center"/>
    </xf>
    <xf numFmtId="0" fontId="37" fillId="0" borderId="10" xfId="37" applyFont="1" applyFill="1" applyBorder="1" applyAlignment="1">
      <alignment horizontal="center" vertical="center" wrapText="1"/>
    </xf>
    <xf numFmtId="0" fontId="37" fillId="0" borderId="13" xfId="37" applyFont="1" applyFill="1" applyBorder="1" applyAlignment="1">
      <alignment horizontal="center" vertical="center" wrapText="1"/>
    </xf>
    <xf numFmtId="0" fontId="37" fillId="0" borderId="10" xfId="37" applyFont="1" applyBorder="1" applyAlignment="1">
      <alignment horizontal="center" vertical="center" wrapText="1"/>
    </xf>
    <xf numFmtId="0" fontId="49" fillId="0" borderId="0" xfId="57" applyFont="1" applyAlignment="1">
      <alignment horizontal="center" wrapText="1"/>
    </xf>
    <xf numFmtId="0" fontId="42" fillId="0" borderId="10" xfId="55" applyFont="1" applyFill="1" applyBorder="1" applyAlignment="1">
      <alignment horizontal="center"/>
    </xf>
    <xf numFmtId="0" fontId="42" fillId="0" borderId="10" xfId="55" applyFont="1" applyFill="1" applyBorder="1" applyAlignment="1">
      <alignment horizontal="center" vertical="center" wrapText="1"/>
    </xf>
    <xf numFmtId="0" fontId="50" fillId="0" borderId="10" xfId="36" applyFont="1" applyBorder="1" applyAlignment="1">
      <alignment horizontal="center" vertical="center" wrapText="1"/>
    </xf>
    <xf numFmtId="0" fontId="37" fillId="0" borderId="10" xfId="55" applyFont="1" applyBorder="1" applyAlignment="1">
      <alignment horizontal="center" vertical="center" wrapText="1"/>
    </xf>
    <xf numFmtId="0" fontId="37" fillId="0" borderId="10" xfId="102" applyFont="1" applyFill="1" applyBorder="1" applyAlignment="1">
      <alignment horizontal="center" vertical="center" wrapText="1"/>
    </xf>
    <xf numFmtId="0" fontId="42" fillId="0" borderId="0" xfId="37" applyFont="1" applyAlignment="1">
      <alignment horizontal="center"/>
    </xf>
    <xf numFmtId="0" fontId="42" fillId="0" borderId="0" xfId="37" applyFont="1"/>
    <xf numFmtId="0" fontId="16" fillId="0" borderId="10" xfId="0" applyFont="1" applyBorder="1" applyAlignment="1">
      <alignment horizontal="center"/>
    </xf>
    <xf numFmtId="0" fontId="42" fillId="0" borderId="10" xfId="55" applyFont="1" applyBorder="1" applyAlignment="1">
      <alignment horizontal="center" vertical="center" wrapText="1"/>
    </xf>
    <xf numFmtId="0" fontId="43" fillId="0" borderId="0" xfId="55" applyFont="1" applyBorder="1" applyAlignment="1">
      <alignment horizontal="center" vertical="center" wrapText="1"/>
    </xf>
    <xf numFmtId="0" fontId="37" fillId="0" borderId="11" xfId="37" applyFont="1" applyBorder="1" applyAlignment="1">
      <alignment horizontal="center" vertical="center" wrapText="1"/>
    </xf>
    <xf numFmtId="0" fontId="44" fillId="0" borderId="0" xfId="37" applyFont="1" applyAlignment="1">
      <alignment horizontal="center"/>
    </xf>
    <xf numFmtId="49" fontId="37" fillId="0" borderId="10" xfId="102" applyNumberFormat="1" applyFont="1" applyFill="1" applyBorder="1" applyAlignment="1">
      <alignment horizontal="center" vertical="center" wrapText="1"/>
    </xf>
    <xf numFmtId="49" fontId="37" fillId="0" borderId="10" xfId="37" applyNumberFormat="1" applyFont="1" applyBorder="1" applyAlignment="1">
      <alignment horizontal="center" vertical="center" wrapText="1"/>
    </xf>
    <xf numFmtId="49" fontId="42" fillId="0" borderId="0" xfId="55" applyNumberFormat="1" applyFont="1" applyBorder="1" applyAlignment="1">
      <alignment horizontal="center" vertical="center"/>
    </xf>
    <xf numFmtId="0" fontId="42" fillId="0" borderId="11"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16" fillId="0" borderId="0" xfId="0" applyFont="1" applyFill="1" applyAlignment="1">
      <alignment horizontal="center"/>
    </xf>
    <xf numFmtId="0" fontId="16" fillId="0" borderId="10" xfId="46" applyFont="1" applyBorder="1" applyAlignment="1">
      <alignment horizontal="center" vertical="center" wrapText="1"/>
    </xf>
    <xf numFmtId="0" fontId="37" fillId="0" borderId="10" xfId="37" applyFont="1" applyBorder="1" applyAlignment="1">
      <alignment horizontal="center" vertical="center"/>
    </xf>
    <xf numFmtId="0" fontId="42" fillId="0" borderId="10" xfId="0" applyFont="1" applyFill="1" applyBorder="1" applyAlignment="1">
      <alignment horizontal="center" vertical="center" wrapText="1"/>
    </xf>
    <xf numFmtId="49" fontId="37" fillId="0" borderId="0" xfId="37" applyNumberFormat="1" applyFont="1"/>
    <xf numFmtId="49" fontId="42" fillId="0" borderId="10" xfId="0" applyNumberFormat="1" applyFont="1" applyFill="1" applyBorder="1" applyAlignment="1">
      <alignment horizontal="center" vertical="center" wrapText="1"/>
    </xf>
    <xf numFmtId="0" fontId="37" fillId="0" borderId="0" xfId="37" applyFont="1" applyFill="1" applyBorder="1" applyAlignment="1"/>
    <xf numFmtId="49" fontId="37" fillId="0" borderId="0" xfId="37" applyNumberFormat="1" applyFont="1" applyFill="1"/>
    <xf numFmtId="0" fontId="47" fillId="0" borderId="0" xfId="37" applyFont="1" applyFill="1" applyAlignment="1">
      <alignment horizontal="right" vertical="center"/>
    </xf>
    <xf numFmtId="0" fontId="47" fillId="0" borderId="0" xfId="37" applyFont="1" applyFill="1" applyAlignment="1">
      <alignment horizontal="right"/>
    </xf>
    <xf numFmtId="0" fontId="42" fillId="0" borderId="10" xfId="0" applyFont="1" applyFill="1" applyBorder="1" applyAlignment="1">
      <alignment vertical="center" wrapText="1"/>
    </xf>
    <xf numFmtId="0" fontId="44" fillId="0" borderId="0" xfId="37" applyFont="1" applyAlignment="1">
      <alignment horizontal="center" wrapText="1"/>
    </xf>
    <xf numFmtId="49" fontId="37" fillId="0" borderId="10" xfId="37" applyNumberFormat="1" applyFont="1" applyBorder="1" applyAlignment="1">
      <alignment horizontal="center"/>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16" fillId="0" borderId="10" xfId="46"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6" fillId="0" borderId="0" xfId="0" applyFont="1"/>
    <xf numFmtId="0" fontId="16" fillId="0" borderId="10" xfId="0" applyFont="1" applyBorder="1" applyAlignment="1">
      <alignment horizontal="center" vertical="center" wrapText="1"/>
    </xf>
    <xf numFmtId="0" fontId="17" fillId="0" borderId="0" xfId="0" applyFont="1" applyFill="1" applyAlignment="1">
      <alignment horizontal="center"/>
    </xf>
    <xf numFmtId="0" fontId="40" fillId="0" borderId="10" xfId="45" applyFont="1" applyBorder="1" applyAlignment="1">
      <alignment horizontal="center" vertical="center"/>
    </xf>
    <xf numFmtId="0" fontId="16"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xf>
    <xf numFmtId="0" fontId="16" fillId="0" borderId="0" xfId="0" applyFont="1" applyFill="1" applyBorder="1" applyAlignment="1">
      <alignment vertical="center"/>
    </xf>
    <xf numFmtId="0" fontId="39" fillId="0" borderId="0" xfId="44" applyFont="1" applyFill="1" applyBorder="1" applyAlignment="1"/>
    <xf numFmtId="0" fontId="72" fillId="0" borderId="0" xfId="55" applyFont="1"/>
    <xf numFmtId="0" fontId="48" fillId="0" borderId="0" xfId="55" applyFont="1"/>
    <xf numFmtId="0" fontId="47" fillId="0" borderId="0" xfId="0" applyFont="1"/>
    <xf numFmtId="0" fontId="73" fillId="0" borderId="0" xfId="0" applyFont="1" applyFill="1"/>
    <xf numFmtId="0" fontId="73" fillId="0" borderId="0" xfId="0" applyFont="1"/>
    <xf numFmtId="0" fontId="48" fillId="0" borderId="0" xfId="37" applyFont="1" applyAlignment="1">
      <alignment vertical="center"/>
    </xf>
    <xf numFmtId="0" fontId="72" fillId="0" borderId="0" xfId="55" applyFont="1" applyAlignment="1">
      <alignment horizontal="center" vertical="center"/>
    </xf>
    <xf numFmtId="0" fontId="71" fillId="0" borderId="0" xfId="55" applyFont="1"/>
    <xf numFmtId="0" fontId="71" fillId="0" borderId="0" xfId="55" applyFont="1" applyAlignment="1">
      <alignment horizontal="center" vertical="center"/>
    </xf>
    <xf numFmtId="0" fontId="73" fillId="0" borderId="0" xfId="37" applyFont="1" applyAlignment="1">
      <alignment horizontal="right" vertical="center"/>
    </xf>
    <xf numFmtId="0" fontId="74" fillId="0" borderId="0" xfId="55" applyFont="1" applyBorder="1" applyAlignment="1">
      <alignment horizontal="center" vertical="center" wrapText="1"/>
    </xf>
    <xf numFmtId="0" fontId="73" fillId="0" borderId="0" xfId="37" applyFont="1" applyAlignment="1">
      <alignment horizontal="right"/>
    </xf>
    <xf numFmtId="0" fontId="72" fillId="0" borderId="0" xfId="55" applyFont="1" applyBorder="1"/>
    <xf numFmtId="0" fontId="73" fillId="0" borderId="0" xfId="0" applyFont="1" applyFill="1" applyAlignment="1"/>
    <xf numFmtId="0" fontId="72" fillId="0" borderId="0" xfId="55" applyFont="1" applyAlignment="1">
      <alignment vertical="center"/>
    </xf>
    <xf numFmtId="0" fontId="73" fillId="0" borderId="0" xfId="55" applyFont="1"/>
    <xf numFmtId="0" fontId="72" fillId="0" borderId="10" xfId="55" applyFont="1" applyBorder="1" applyAlignment="1">
      <alignment horizontal="center" vertical="center" textRotation="90" wrapText="1"/>
    </xf>
    <xf numFmtId="0" fontId="72" fillId="0" borderId="10" xfId="55" applyFont="1" applyBorder="1" applyAlignment="1">
      <alignment horizontal="center" vertical="center"/>
    </xf>
    <xf numFmtId="49" fontId="74" fillId="24" borderId="10" xfId="55" applyNumberFormat="1" applyFont="1" applyFill="1" applyBorder="1" applyAlignment="1">
      <alignment horizontal="center" vertical="center"/>
    </xf>
    <xf numFmtId="0" fontId="74" fillId="24" borderId="10" xfId="55" applyFont="1" applyFill="1" applyBorder="1" applyAlignment="1">
      <alignment horizontal="center" vertical="center" wrapText="1"/>
    </xf>
    <xf numFmtId="0" fontId="74" fillId="0" borderId="0" xfId="55" applyFont="1" applyAlignment="1">
      <alignment vertical="center"/>
    </xf>
    <xf numFmtId="49" fontId="74" fillId="0" borderId="10" xfId="55" applyNumberFormat="1" applyFont="1" applyFill="1" applyBorder="1" applyAlignment="1">
      <alignment horizontal="center" vertical="center"/>
    </xf>
    <xf numFmtId="0" fontId="74" fillId="0" borderId="12" xfId="55" applyFont="1" applyFill="1" applyBorder="1" applyAlignment="1">
      <alignment horizontal="center" vertical="center" wrapText="1"/>
    </xf>
    <xf numFmtId="0" fontId="72" fillId="0" borderId="10" xfId="55" applyFont="1" applyFill="1" applyBorder="1" applyAlignment="1">
      <alignment horizontal="center"/>
    </xf>
    <xf numFmtId="49" fontId="72" fillId="0" borderId="10" xfId="55" applyNumberFormat="1" applyFont="1" applyFill="1" applyBorder="1" applyAlignment="1">
      <alignment horizontal="center" vertical="center"/>
    </xf>
    <xf numFmtId="0" fontId="72" fillId="0" borderId="12" xfId="55" applyFont="1" applyFill="1" applyBorder="1" applyAlignment="1">
      <alignment horizontal="center" vertical="center" wrapText="1"/>
    </xf>
    <xf numFmtId="49" fontId="74" fillId="25" borderId="10" xfId="55" applyNumberFormat="1" applyFont="1" applyFill="1" applyBorder="1" applyAlignment="1">
      <alignment horizontal="center" vertical="center"/>
    </xf>
    <xf numFmtId="49" fontId="72" fillId="25" borderId="10" xfId="55" applyNumberFormat="1" applyFont="1" applyFill="1" applyBorder="1" applyAlignment="1">
      <alignment horizontal="center" vertical="center"/>
    </xf>
    <xf numFmtId="49" fontId="72" fillId="24" borderId="10" xfId="55" applyNumberFormat="1" applyFont="1" applyFill="1" applyBorder="1" applyAlignment="1">
      <alignment horizontal="center" vertical="center"/>
    </xf>
    <xf numFmtId="0" fontId="72" fillId="24" borderId="12" xfId="55" applyFont="1" applyFill="1" applyBorder="1" applyAlignment="1">
      <alignment horizontal="center" vertical="center" wrapText="1"/>
    </xf>
    <xf numFmtId="0" fontId="74" fillId="24" borderId="12" xfId="55" applyFont="1" applyFill="1" applyBorder="1" applyAlignment="1">
      <alignment horizontal="center" vertical="center" wrapText="1"/>
    </xf>
    <xf numFmtId="0" fontId="71" fillId="0" borderId="0" xfId="55" applyFont="1" applyBorder="1"/>
    <xf numFmtId="0" fontId="71" fillId="0" borderId="10" xfId="55" applyFont="1" applyBorder="1" applyAlignment="1">
      <alignment horizontal="center" vertical="center" textRotation="90" wrapText="1"/>
    </xf>
    <xf numFmtId="0" fontId="74" fillId="0" borderId="0" xfId="55" applyFont="1" applyAlignment="1"/>
    <xf numFmtId="0" fontId="80" fillId="0" borderId="0" xfId="0" applyFont="1" applyFill="1" applyAlignment="1">
      <alignment horizontal="center"/>
    </xf>
    <xf numFmtId="0" fontId="72" fillId="0" borderId="0" xfId="55" applyFont="1" applyAlignment="1">
      <alignment vertical="top"/>
    </xf>
    <xf numFmtId="0" fontId="80" fillId="0" borderId="0" xfId="0" applyFont="1" applyFill="1" applyAlignment="1">
      <alignment horizontal="center" vertical="center"/>
    </xf>
    <xf numFmtId="0" fontId="73" fillId="0" borderId="0" xfId="0" applyFont="1" applyAlignment="1">
      <alignment horizontal="right"/>
    </xf>
    <xf numFmtId="0" fontId="73" fillId="0" borderId="10" xfId="0" applyFont="1" applyFill="1" applyBorder="1" applyAlignment="1">
      <alignment horizontal="center" vertical="center" textRotation="90" wrapText="1"/>
    </xf>
    <xf numFmtId="0" fontId="73" fillId="0" borderId="17" xfId="37" applyFont="1" applyFill="1" applyBorder="1" applyAlignment="1">
      <alignment horizontal="center" vertical="center" textRotation="90" wrapText="1"/>
    </xf>
    <xf numFmtId="0" fontId="73" fillId="0" borderId="10" xfId="0"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0" fontId="80" fillId="24" borderId="10" xfId="0" applyFont="1" applyFill="1" applyBorder="1" applyAlignment="1">
      <alignment horizontal="center" vertical="center"/>
    </xf>
    <xf numFmtId="0" fontId="80" fillId="0" borderId="0" xfId="0" applyFont="1" applyFill="1"/>
    <xf numFmtId="0" fontId="74" fillId="0" borderId="10" xfId="55" applyFont="1" applyFill="1" applyBorder="1" applyAlignment="1">
      <alignment horizontal="center" vertical="center" wrapText="1"/>
    </xf>
    <xf numFmtId="0" fontId="73" fillId="0" borderId="10" xfId="0" applyFont="1" applyFill="1" applyBorder="1" applyAlignment="1">
      <alignment horizontal="center" vertical="center"/>
    </xf>
    <xf numFmtId="0" fontId="74" fillId="25" borderId="10" xfId="55" applyFont="1" applyFill="1" applyBorder="1" applyAlignment="1">
      <alignment horizontal="center" vertical="center" wrapText="1"/>
    </xf>
    <xf numFmtId="0" fontId="80" fillId="25" borderId="10" xfId="0" applyFont="1" applyFill="1" applyBorder="1" applyAlignment="1">
      <alignment horizontal="center" vertical="center"/>
    </xf>
    <xf numFmtId="0" fontId="73" fillId="0" borderId="0" xfId="0" applyFont="1" applyFill="1" applyBorder="1" applyAlignment="1"/>
    <xf numFmtId="0" fontId="80" fillId="0" borderId="0" xfId="0" applyFont="1" applyFill="1" applyAlignment="1"/>
    <xf numFmtId="1" fontId="80" fillId="0" borderId="0" xfId="0" applyNumberFormat="1" applyFont="1" applyFill="1" applyBorder="1" applyAlignment="1">
      <alignment vertical="top"/>
    </xf>
    <xf numFmtId="0" fontId="73" fillId="0" borderId="13" xfId="0" applyFont="1" applyFill="1" applyBorder="1" applyAlignment="1">
      <alignment horizontal="center" vertical="center" wrapText="1"/>
    </xf>
    <xf numFmtId="0" fontId="73" fillId="0" borderId="13" xfId="0" applyFont="1" applyBorder="1" applyAlignment="1">
      <alignment horizontal="center" vertical="center" wrapText="1"/>
    </xf>
    <xf numFmtId="0" fontId="73" fillId="0" borderId="10" xfId="37" applyFont="1" applyFill="1" applyBorder="1" applyAlignment="1">
      <alignment horizontal="center" vertical="center" textRotation="90" wrapText="1"/>
    </xf>
    <xf numFmtId="0" fontId="73" fillId="0" borderId="0" xfId="0" applyFont="1" applyFill="1" applyAlignment="1">
      <alignment vertical="center"/>
    </xf>
    <xf numFmtId="0" fontId="82" fillId="0" borderId="0" xfId="44" applyFont="1" applyFill="1" applyBorder="1" applyAlignment="1">
      <alignment horizontal="center"/>
    </xf>
    <xf numFmtId="0" fontId="72" fillId="0" borderId="0" xfId="55" applyFont="1" applyAlignment="1">
      <alignment horizontal="center" vertical="top"/>
    </xf>
    <xf numFmtId="0" fontId="73" fillId="0" borderId="0" xfId="0" applyFont="1" applyFill="1" applyAlignment="1">
      <alignment horizontal="center" vertical="center"/>
    </xf>
    <xf numFmtId="0" fontId="80" fillId="0" borderId="0" xfId="46" applyFont="1" applyFill="1" applyBorder="1" applyAlignment="1">
      <alignment horizontal="center"/>
    </xf>
    <xf numFmtId="0" fontId="80" fillId="0" borderId="0" xfId="46" applyFont="1" applyFill="1" applyBorder="1" applyAlignment="1"/>
    <xf numFmtId="0" fontId="82" fillId="0" borderId="0" xfId="45" applyFont="1" applyFill="1" applyBorder="1" applyAlignment="1">
      <alignment vertical="center"/>
    </xf>
    <xf numFmtId="0" fontId="83" fillId="0" borderId="10" xfId="45" applyFont="1" applyFill="1" applyBorder="1" applyAlignment="1">
      <alignment horizontal="center" vertical="center" wrapText="1"/>
    </xf>
    <xf numFmtId="0" fontId="83" fillId="0" borderId="10" xfId="45" applyFont="1" applyFill="1" applyBorder="1" applyAlignment="1">
      <alignment horizontal="center" vertical="center" textRotation="90" wrapText="1"/>
    </xf>
    <xf numFmtId="0" fontId="83" fillId="0" borderId="10" xfId="45" applyFont="1" applyFill="1" applyBorder="1" applyAlignment="1">
      <alignment horizontal="center" vertical="center"/>
    </xf>
    <xf numFmtId="49" fontId="83" fillId="0" borderId="10" xfId="45" applyNumberFormat="1" applyFont="1" applyFill="1" applyBorder="1" applyAlignment="1">
      <alignment horizontal="center" vertical="center"/>
    </xf>
    <xf numFmtId="0" fontId="72" fillId="0" borderId="10" xfId="55" applyFont="1" applyFill="1" applyBorder="1" applyAlignment="1">
      <alignment horizontal="center" vertical="center" wrapText="1"/>
    </xf>
    <xf numFmtId="0" fontId="73" fillId="0" borderId="0" xfId="0" applyFont="1" applyAlignment="1">
      <alignment vertical="center"/>
    </xf>
    <xf numFmtId="0" fontId="80" fillId="0" borderId="21" xfId="46" applyFont="1" applyFill="1" applyBorder="1" applyAlignment="1"/>
    <xf numFmtId="0" fontId="73" fillId="0" borderId="0" xfId="0" applyFont="1" applyBorder="1"/>
    <xf numFmtId="0" fontId="72" fillId="0" borderId="0" xfId="55" applyFont="1" applyAlignment="1">
      <alignment horizontal="center"/>
    </xf>
    <xf numFmtId="0" fontId="73" fillId="0" borderId="0" xfId="0" applyFont="1" applyAlignment="1">
      <alignment horizontal="center"/>
    </xf>
    <xf numFmtId="0" fontId="73" fillId="0" borderId="0" xfId="0" applyFont="1" applyAlignment="1">
      <alignment horizontal="center" vertical="center"/>
    </xf>
    <xf numFmtId="0" fontId="82" fillId="0" borderId="0" xfId="44" applyFont="1" applyFill="1" applyBorder="1" applyAlignment="1">
      <alignment horizontal="center" vertical="center"/>
    </xf>
    <xf numFmtId="0" fontId="73" fillId="0" borderId="0" xfId="0" applyFont="1" applyFill="1" applyBorder="1"/>
    <xf numFmtId="0" fontId="73" fillId="0" borderId="10" xfId="0" applyFont="1" applyBorder="1" applyAlignment="1">
      <alignment horizontal="center" vertical="center"/>
    </xf>
    <xf numFmtId="0" fontId="84" fillId="0" borderId="10" xfId="45" applyFont="1" applyFill="1" applyBorder="1" applyAlignment="1">
      <alignment horizontal="center" vertical="center"/>
    </xf>
    <xf numFmtId="49" fontId="84" fillId="0" borderId="10" xfId="45" applyNumberFormat="1" applyFont="1" applyFill="1" applyBorder="1" applyAlignment="1">
      <alignment horizontal="center" vertical="center"/>
    </xf>
    <xf numFmtId="49" fontId="72" fillId="0" borderId="10" xfId="55" applyNumberFormat="1" applyFont="1" applyBorder="1" applyAlignment="1">
      <alignment horizontal="center" vertical="center"/>
    </xf>
    <xf numFmtId="0" fontId="72" fillId="0" borderId="10" xfId="55" applyFont="1" applyBorder="1" applyAlignment="1">
      <alignment horizontal="center" vertical="center" wrapText="1"/>
    </xf>
    <xf numFmtId="0" fontId="73" fillId="0" borderId="10" xfId="0" applyFont="1" applyBorder="1"/>
    <xf numFmtId="0" fontId="72" fillId="25" borderId="10" xfId="55" applyFont="1" applyFill="1" applyBorder="1" applyAlignment="1">
      <alignment horizontal="center" vertical="center" wrapText="1"/>
    </xf>
    <xf numFmtId="0" fontId="72" fillId="0" borderId="0" xfId="37" applyFont="1"/>
    <xf numFmtId="0" fontId="72" fillId="0" borderId="0" xfId="37" applyFont="1" applyAlignment="1">
      <alignment vertical="center"/>
    </xf>
    <xf numFmtId="0" fontId="72" fillId="0" borderId="0" xfId="37" applyFont="1" applyAlignment="1">
      <alignment horizontal="center" vertical="center"/>
    </xf>
    <xf numFmtId="0" fontId="72" fillId="0" borderId="0" xfId="37" applyFont="1" applyBorder="1" applyAlignment="1">
      <alignment horizontal="center" vertical="center"/>
    </xf>
    <xf numFmtId="0" fontId="72" fillId="0" borderId="10" xfId="37" applyFont="1" applyFill="1" applyBorder="1" applyAlignment="1">
      <alignment horizontal="center" vertical="center" wrapText="1"/>
    </xf>
    <xf numFmtId="0" fontId="72" fillId="0" borderId="11" xfId="55" applyFont="1" applyBorder="1" applyAlignment="1">
      <alignment horizontal="center" vertical="center" wrapText="1"/>
    </xf>
    <xf numFmtId="0" fontId="72" fillId="0" borderId="10" xfId="37" applyFont="1" applyFill="1" applyBorder="1" applyAlignment="1">
      <alignment horizontal="center" vertical="center"/>
    </xf>
    <xf numFmtId="0" fontId="72" fillId="0" borderId="0" xfId="37" applyFont="1" applyFill="1" applyAlignment="1">
      <alignment horizontal="center" vertical="center"/>
    </xf>
    <xf numFmtId="0" fontId="72" fillId="0" borderId="0" xfId="37" applyFont="1" applyFill="1" applyAlignment="1">
      <alignment vertical="center"/>
    </xf>
    <xf numFmtId="0" fontId="72" fillId="0" borderId="0" xfId="37" applyFont="1" applyFill="1"/>
    <xf numFmtId="0" fontId="85" fillId="0" borderId="0" xfId="55" applyFont="1"/>
    <xf numFmtId="0" fontId="70" fillId="0" borderId="0" xfId="55" applyFont="1"/>
    <xf numFmtId="0" fontId="86" fillId="0" borderId="0" xfId="55" applyFont="1" applyAlignment="1">
      <alignment horizontal="left" vertical="center"/>
    </xf>
    <xf numFmtId="0" fontId="74" fillId="0" borderId="0" xfId="37" applyFont="1" applyAlignment="1"/>
    <xf numFmtId="0" fontId="70" fillId="0" borderId="0" xfId="55" applyFont="1" applyBorder="1"/>
    <xf numFmtId="0" fontId="73" fillId="0" borderId="10" xfId="46" applyFont="1" applyBorder="1" applyAlignment="1">
      <alignment horizontal="center" vertical="center" wrapText="1"/>
    </xf>
    <xf numFmtId="0" fontId="72" fillId="0" borderId="10" xfId="37" applyFont="1" applyBorder="1" applyAlignment="1">
      <alignment horizontal="center" vertical="center" textRotation="90"/>
    </xf>
    <xf numFmtId="0" fontId="73" fillId="0" borderId="10" xfId="36" applyFont="1" applyBorder="1" applyAlignment="1">
      <alignment horizontal="center" vertical="center" wrapText="1"/>
    </xf>
    <xf numFmtId="0" fontId="72" fillId="0" borderId="0" xfId="37" applyFont="1" applyAlignment="1">
      <alignment horizontal="right" vertical="center"/>
    </xf>
    <xf numFmtId="0" fontId="73" fillId="0" borderId="10" xfId="37" applyFont="1" applyFill="1" applyBorder="1" applyAlignment="1">
      <alignment horizontal="center" vertical="center" wrapText="1"/>
    </xf>
    <xf numFmtId="0" fontId="72" fillId="0" borderId="0" xfId="37" applyFont="1" applyBorder="1"/>
    <xf numFmtId="0" fontId="72" fillId="0" borderId="0" xfId="37" applyFont="1" applyBorder="1" applyAlignment="1">
      <alignment vertical="center"/>
    </xf>
    <xf numFmtId="0" fontId="73" fillId="0" borderId="0" xfId="37" applyFont="1" applyFill="1" applyAlignment="1">
      <alignment horizontal="right" vertical="center"/>
    </xf>
    <xf numFmtId="0" fontId="73" fillId="0" borderId="0" xfId="37" applyFont="1" applyFill="1" applyAlignment="1">
      <alignment horizontal="right"/>
    </xf>
    <xf numFmtId="0" fontId="72" fillId="0" borderId="0" xfId="37" applyFont="1" applyFill="1" applyAlignment="1">
      <alignment horizontal="right" vertical="center"/>
    </xf>
    <xf numFmtId="49" fontId="72" fillId="0" borderId="10" xfId="37" applyNumberFormat="1" applyFont="1" applyFill="1" applyBorder="1" applyAlignment="1">
      <alignment horizontal="center" vertical="center"/>
    </xf>
    <xf numFmtId="0" fontId="87" fillId="0" borderId="0" xfId="55" applyFont="1"/>
    <xf numFmtId="0" fontId="88" fillId="0" borderId="0" xfId="55" applyFont="1"/>
    <xf numFmtId="0" fontId="89" fillId="0" borderId="0" xfId="55" applyFont="1"/>
    <xf numFmtId="0" fontId="90" fillId="24" borderId="10" xfId="0" applyFont="1" applyFill="1" applyBorder="1" applyAlignment="1">
      <alignment horizontal="center" vertical="center"/>
    </xf>
    <xf numFmtId="2" fontId="90" fillId="24" borderId="10" xfId="0" applyNumberFormat="1" applyFont="1" applyFill="1" applyBorder="1" applyAlignment="1">
      <alignment horizontal="center" vertical="center"/>
    </xf>
    <xf numFmtId="0" fontId="91" fillId="0" borderId="10" xfId="0" applyFont="1" applyFill="1" applyBorder="1" applyAlignment="1">
      <alignment horizontal="center" vertical="center"/>
    </xf>
    <xf numFmtId="2" fontId="91" fillId="0" borderId="10" xfId="0" applyNumberFormat="1" applyFont="1" applyFill="1" applyBorder="1" applyAlignment="1">
      <alignment horizontal="center" vertical="center"/>
    </xf>
    <xf numFmtId="0" fontId="92" fillId="24" borderId="10" xfId="0" applyFont="1" applyFill="1" applyBorder="1" applyAlignment="1">
      <alignment horizontal="center" vertical="center"/>
    </xf>
    <xf numFmtId="2" fontId="92" fillId="24" borderId="10" xfId="0" applyNumberFormat="1" applyFont="1" applyFill="1" applyBorder="1" applyAlignment="1">
      <alignment horizontal="center" vertical="center"/>
    </xf>
    <xf numFmtId="0" fontId="93" fillId="0" borderId="10" xfId="0" applyFont="1" applyFill="1" applyBorder="1" applyAlignment="1">
      <alignment horizontal="center" vertical="center"/>
    </xf>
    <xf numFmtId="2" fontId="93" fillId="0" borderId="10" xfId="0" applyNumberFormat="1" applyFont="1" applyFill="1" applyBorder="1" applyAlignment="1">
      <alignment horizontal="center" vertical="center"/>
    </xf>
    <xf numFmtId="0" fontId="92" fillId="25" borderId="10" xfId="0" applyFont="1" applyFill="1" applyBorder="1" applyAlignment="1">
      <alignment horizontal="center" vertical="center"/>
    </xf>
    <xf numFmtId="2" fontId="92" fillId="25" borderId="10" xfId="0" applyNumberFormat="1" applyFont="1" applyFill="1" applyBorder="1" applyAlignment="1">
      <alignment horizontal="center" vertical="center"/>
    </xf>
    <xf numFmtId="0" fontId="93" fillId="0" borderId="0" xfId="0" applyFont="1"/>
    <xf numFmtId="0" fontId="94" fillId="0" borderId="0" xfId="0" applyFont="1"/>
    <xf numFmtId="0" fontId="94" fillId="0" borderId="0" xfId="0" applyFont="1" applyFill="1"/>
    <xf numFmtId="0" fontId="95" fillId="0" borderId="0" xfId="0" applyFont="1"/>
    <xf numFmtId="0" fontId="95" fillId="0" borderId="0" xfId="0" applyFont="1" applyFill="1"/>
    <xf numFmtId="168" fontId="96" fillId="24" borderId="10" xfId="55" applyNumberFormat="1" applyFont="1" applyFill="1" applyBorder="1" applyAlignment="1">
      <alignment horizontal="center" vertical="center"/>
    </xf>
    <xf numFmtId="168" fontId="92" fillId="24" borderId="10" xfId="0" applyNumberFormat="1" applyFont="1" applyFill="1" applyBorder="1" applyAlignment="1">
      <alignment horizontal="center" vertical="center"/>
    </xf>
    <xf numFmtId="168" fontId="87" fillId="0" borderId="10" xfId="55" applyNumberFormat="1" applyFont="1" applyFill="1" applyBorder="1" applyAlignment="1">
      <alignment horizontal="center" vertical="center"/>
    </xf>
    <xf numFmtId="168" fontId="93" fillId="0" borderId="10" xfId="0" applyNumberFormat="1" applyFont="1" applyFill="1" applyBorder="1" applyAlignment="1">
      <alignment horizontal="center" vertical="center"/>
    </xf>
    <xf numFmtId="168" fontId="92" fillId="25" borderId="10" xfId="0" applyNumberFormat="1" applyFont="1" applyFill="1" applyBorder="1" applyAlignment="1">
      <alignment horizontal="center" vertical="center"/>
    </xf>
    <xf numFmtId="168" fontId="92" fillId="25" borderId="10" xfId="0" applyNumberFormat="1" applyFont="1" applyFill="1" applyBorder="1" applyAlignment="1">
      <alignment vertical="center"/>
    </xf>
    <xf numFmtId="168" fontId="93" fillId="0" borderId="10" xfId="0" applyNumberFormat="1" applyFont="1" applyFill="1" applyBorder="1" applyAlignment="1">
      <alignment vertical="center"/>
    </xf>
    <xf numFmtId="0" fontId="96" fillId="24" borderId="10" xfId="55" applyFont="1" applyFill="1" applyBorder="1" applyAlignment="1">
      <alignment horizontal="center" vertical="center"/>
    </xf>
    <xf numFmtId="0" fontId="87" fillId="0" borderId="10" xfId="55" applyFont="1" applyFill="1" applyBorder="1" applyAlignment="1">
      <alignment horizontal="center" vertical="center"/>
    </xf>
    <xf numFmtId="168" fontId="96" fillId="25" borderId="10" xfId="55" applyNumberFormat="1" applyFont="1" applyFill="1" applyBorder="1" applyAlignment="1">
      <alignment horizontal="center" vertical="center"/>
    </xf>
    <xf numFmtId="0" fontId="96" fillId="25" borderId="10" xfId="55" applyFont="1" applyFill="1" applyBorder="1" applyAlignment="1">
      <alignment horizontal="center" vertical="center"/>
    </xf>
    <xf numFmtId="0" fontId="94" fillId="0" borderId="0" xfId="0" applyFont="1" applyAlignment="1">
      <alignment horizontal="center"/>
    </xf>
    <xf numFmtId="49" fontId="96" fillId="24" borderId="10" xfId="55" applyNumberFormat="1" applyFont="1" applyFill="1" applyBorder="1" applyAlignment="1">
      <alignment horizontal="center" vertical="center"/>
    </xf>
    <xf numFmtId="0" fontId="96" fillId="24" borderId="10" xfId="55" applyFont="1" applyFill="1" applyBorder="1" applyAlignment="1">
      <alignment horizontal="center" vertical="center" wrapText="1"/>
    </xf>
    <xf numFmtId="49" fontId="96" fillId="0" borderId="10" xfId="55" applyNumberFormat="1" applyFont="1" applyFill="1" applyBorder="1" applyAlignment="1">
      <alignment horizontal="center" vertical="center"/>
    </xf>
    <xf numFmtId="0" fontId="96" fillId="0" borderId="10" xfId="55" applyFont="1" applyFill="1" applyBorder="1" applyAlignment="1">
      <alignment horizontal="center" vertical="center" wrapText="1"/>
    </xf>
    <xf numFmtId="49" fontId="87" fillId="25" borderId="10" xfId="55" applyNumberFormat="1" applyFont="1" applyFill="1" applyBorder="1" applyAlignment="1">
      <alignment horizontal="center" vertical="center"/>
    </xf>
    <xf numFmtId="0" fontId="87" fillId="25" borderId="10" xfId="55" applyFont="1" applyFill="1" applyBorder="1" applyAlignment="1">
      <alignment horizontal="center" vertical="center" wrapText="1"/>
    </xf>
    <xf numFmtId="0" fontId="88" fillId="0" borderId="0" xfId="55" applyFont="1" applyAlignment="1">
      <alignment horizontal="right"/>
    </xf>
    <xf numFmtId="0" fontId="87" fillId="0" borderId="0" xfId="37" applyFont="1"/>
    <xf numFmtId="0" fontId="87" fillId="0" borderId="0" xfId="37" applyFont="1" applyAlignment="1">
      <alignment vertical="center"/>
    </xf>
    <xf numFmtId="0" fontId="93" fillId="0" borderId="0" xfId="37" applyFont="1" applyAlignment="1">
      <alignment horizontal="right" vertical="center"/>
    </xf>
    <xf numFmtId="0" fontId="87" fillId="0" borderId="0" xfId="37" applyFont="1" applyAlignment="1">
      <alignment horizontal="center" vertical="center"/>
    </xf>
    <xf numFmtId="0" fontId="93" fillId="0" borderId="0" xfId="37" applyFont="1" applyAlignment="1">
      <alignment horizontal="right"/>
    </xf>
    <xf numFmtId="0" fontId="97" fillId="0" borderId="0" xfId="44" applyFont="1" applyFill="1" applyBorder="1" applyAlignment="1">
      <alignment horizontal="center"/>
    </xf>
    <xf numFmtId="0" fontId="87" fillId="0" borderId="0" xfId="55" applyFont="1" applyAlignment="1">
      <alignment horizontal="center" vertical="center"/>
    </xf>
    <xf numFmtId="0" fontId="87" fillId="0" borderId="0" xfId="55" applyFont="1" applyAlignment="1">
      <alignment horizontal="center" vertical="top"/>
    </xf>
    <xf numFmtId="0" fontId="87" fillId="0" borderId="0" xfId="55" applyFont="1" applyAlignment="1">
      <alignment horizontal="center"/>
    </xf>
    <xf numFmtId="0" fontId="87" fillId="0" borderId="0" xfId="37" applyFont="1" applyBorder="1" applyAlignment="1">
      <alignment horizontal="center" vertical="center"/>
    </xf>
    <xf numFmtId="0" fontId="93" fillId="0" borderId="10" xfId="0" applyFont="1" applyFill="1" applyBorder="1" applyAlignment="1">
      <alignment horizontal="center" vertical="center" wrapText="1"/>
    </xf>
    <xf numFmtId="0" fontId="87" fillId="0" borderId="0" xfId="37" applyFont="1" applyFill="1" applyAlignment="1">
      <alignment horizontal="center" vertical="center"/>
    </xf>
    <xf numFmtId="0" fontId="87" fillId="0" borderId="0" xfId="37" applyFont="1" applyFill="1" applyAlignment="1">
      <alignment vertical="center"/>
    </xf>
    <xf numFmtId="0" fontId="87" fillId="0" borderId="0" xfId="37" applyFont="1" applyFill="1"/>
    <xf numFmtId="0" fontId="99" fillId="0" borderId="0" xfId="55" applyFont="1" applyFill="1"/>
    <xf numFmtId="0" fontId="100" fillId="0" borderId="0" xfId="55" applyFont="1"/>
    <xf numFmtId="0" fontId="88" fillId="0" borderId="0" xfId="37" applyFont="1" applyAlignment="1">
      <alignment vertical="center"/>
    </xf>
    <xf numFmtId="0" fontId="88" fillId="0" borderId="0" xfId="37" applyFont="1"/>
    <xf numFmtId="0" fontId="88" fillId="0" borderId="0" xfId="37" applyFont="1" applyBorder="1"/>
    <xf numFmtId="0" fontId="88" fillId="0" borderId="0" xfId="37" applyFont="1" applyBorder="1" applyAlignment="1">
      <alignment horizontal="center" vertical="center"/>
    </xf>
    <xf numFmtId="0" fontId="78" fillId="0" borderId="10" xfId="37" applyFont="1" applyFill="1" applyBorder="1" applyAlignment="1">
      <alignment horizontal="center" vertical="center"/>
    </xf>
    <xf numFmtId="0" fontId="78" fillId="24" borderId="10" xfId="37" applyFont="1" applyFill="1" applyBorder="1" applyAlignment="1">
      <alignment horizontal="center" vertical="center"/>
    </xf>
    <xf numFmtId="0" fontId="37" fillId="0" borderId="10" xfId="37" applyFont="1" applyBorder="1" applyAlignment="1">
      <alignment horizontal="center" vertical="center" wrapText="1"/>
    </xf>
    <xf numFmtId="0" fontId="16" fillId="0" borderId="10" xfId="0" applyFont="1" applyBorder="1" applyAlignment="1">
      <alignment horizontal="center" vertical="center" wrapText="1"/>
    </xf>
    <xf numFmtId="0" fontId="72" fillId="0" borderId="0" xfId="55" applyFont="1" applyAlignment="1">
      <alignment horizontal="center" vertical="center"/>
    </xf>
    <xf numFmtId="0" fontId="71" fillId="0" borderId="10" xfId="55" applyFont="1" applyBorder="1" applyAlignment="1">
      <alignment horizontal="center" vertical="center"/>
    </xf>
    <xf numFmtId="0" fontId="78" fillId="24" borderId="10" xfId="55" applyFont="1" applyFill="1" applyBorder="1" applyAlignment="1">
      <alignment horizontal="center" vertical="center"/>
    </xf>
    <xf numFmtId="49" fontId="71" fillId="0" borderId="10" xfId="55" applyNumberFormat="1" applyFont="1" applyBorder="1" applyAlignment="1">
      <alignment horizontal="center" vertical="center"/>
    </xf>
    <xf numFmtId="0" fontId="72" fillId="24" borderId="10" xfId="55" applyFont="1" applyFill="1" applyBorder="1" applyAlignment="1">
      <alignment horizontal="center" vertical="center" wrapText="1"/>
    </xf>
    <xf numFmtId="0" fontId="93" fillId="24" borderId="10" xfId="0" applyFont="1" applyFill="1" applyBorder="1" applyAlignment="1">
      <alignment horizontal="center" vertical="center"/>
    </xf>
    <xf numFmtId="2" fontId="93" fillId="24" borderId="10" xfId="0" applyNumberFormat="1" applyFont="1" applyFill="1" applyBorder="1" applyAlignment="1">
      <alignment horizontal="center" vertical="center"/>
    </xf>
    <xf numFmtId="0" fontId="73" fillId="0" borderId="0" xfId="0" applyFont="1" applyFill="1" applyAlignment="1">
      <alignment horizontal="center" vertical="center"/>
    </xf>
    <xf numFmtId="0" fontId="87" fillId="24" borderId="10" xfId="55" applyFont="1" applyFill="1" applyBorder="1" applyAlignment="1">
      <alignment horizontal="center" vertical="center"/>
    </xf>
    <xf numFmtId="0" fontId="73" fillId="24" borderId="10" xfId="0" applyFont="1" applyFill="1" applyBorder="1" applyAlignment="1">
      <alignment horizontal="center" vertical="center"/>
    </xf>
    <xf numFmtId="168" fontId="87" fillId="24" borderId="10" xfId="55" applyNumberFormat="1" applyFont="1" applyFill="1" applyBorder="1" applyAlignment="1">
      <alignment horizontal="center" vertical="center"/>
    </xf>
    <xf numFmtId="49" fontId="87" fillId="24" borderId="10" xfId="55" applyNumberFormat="1" applyFont="1" applyFill="1" applyBorder="1" applyAlignment="1">
      <alignment horizontal="center" vertical="center"/>
    </xf>
    <xf numFmtId="0" fontId="87" fillId="24" borderId="10" xfId="55" applyFont="1" applyFill="1" applyBorder="1" applyAlignment="1">
      <alignment horizontal="center" vertical="center" wrapText="1"/>
    </xf>
    <xf numFmtId="0" fontId="99" fillId="0" borderId="21" xfId="55" applyFont="1" applyFill="1" applyBorder="1"/>
    <xf numFmtId="0" fontId="73" fillId="0" borderId="0" xfId="0" applyFont="1" applyFill="1"/>
    <xf numFmtId="0" fontId="73" fillId="0" borderId="0" xfId="0" applyFont="1"/>
    <xf numFmtId="0" fontId="73" fillId="0" borderId="0" xfId="0" applyFont="1" applyFill="1" applyAlignment="1">
      <alignment vertical="center"/>
    </xf>
    <xf numFmtId="0" fontId="72" fillId="0" borderId="0" xfId="37" applyFont="1" applyFill="1" applyAlignment="1">
      <alignment vertical="center"/>
    </xf>
    <xf numFmtId="0" fontId="72" fillId="0" borderId="0" xfId="37" applyFont="1" applyFill="1"/>
    <xf numFmtId="49" fontId="87" fillId="0" borderId="10" xfId="55" applyNumberFormat="1" applyFont="1" applyFill="1" applyBorder="1" applyAlignment="1">
      <alignment horizontal="center" vertical="center"/>
    </xf>
    <xf numFmtId="0" fontId="87" fillId="0" borderId="10" xfId="55" applyFont="1" applyFill="1" applyBorder="1" applyAlignment="1">
      <alignment horizontal="center" vertical="center" wrapText="1"/>
    </xf>
    <xf numFmtId="0" fontId="87" fillId="0" borderId="10" xfId="37" applyFont="1" applyFill="1" applyBorder="1" applyAlignment="1">
      <alignment horizontal="center" vertical="center"/>
    </xf>
    <xf numFmtId="0" fontId="87" fillId="0" borderId="0" xfId="37" applyFont="1" applyFill="1" applyAlignment="1">
      <alignment horizontal="center" vertical="center"/>
    </xf>
    <xf numFmtId="0" fontId="87" fillId="0" borderId="0" xfId="37" applyFont="1" applyFill="1" applyAlignment="1">
      <alignment vertical="center"/>
    </xf>
    <xf numFmtId="0" fontId="87" fillId="0" borderId="0" xfId="37" applyFont="1" applyFill="1"/>
    <xf numFmtId="0" fontId="99" fillId="0" borderId="0" xfId="55" applyFont="1" applyFill="1"/>
    <xf numFmtId="2" fontId="93" fillId="24" borderId="10" xfId="0" applyNumberFormat="1" applyFont="1" applyFill="1" applyBorder="1" applyAlignment="1">
      <alignment horizontal="center" vertical="center"/>
    </xf>
    <xf numFmtId="0" fontId="73" fillId="0" borderId="0" xfId="0" applyFont="1" applyFill="1" applyAlignment="1">
      <alignment horizontal="center"/>
    </xf>
    <xf numFmtId="0" fontId="72" fillId="0" borderId="10" xfId="55" applyFont="1" applyFill="1" applyBorder="1" applyAlignment="1">
      <alignment horizontal="center" vertical="center" wrapText="1"/>
    </xf>
    <xf numFmtId="0" fontId="72" fillId="0" borderId="0" xfId="55" applyFont="1" applyAlignment="1">
      <alignment horizontal="center" vertical="center"/>
    </xf>
    <xf numFmtId="0" fontId="72" fillId="0" borderId="0" xfId="55" applyFont="1" applyAlignment="1">
      <alignment horizontal="center" vertical="top"/>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3" fillId="0" borderId="0" xfId="0" applyFont="1" applyFill="1" applyAlignment="1">
      <alignment horizontal="left" vertical="center" wrapText="1"/>
    </xf>
    <xf numFmtId="0" fontId="73" fillId="0" borderId="0" xfId="0" applyFont="1" applyAlignment="1">
      <alignment wrapText="1"/>
    </xf>
    <xf numFmtId="0" fontId="73" fillId="0" borderId="0" xfId="0" applyFont="1" applyFill="1" applyAlignment="1">
      <alignment horizontal="left" wrapText="1"/>
    </xf>
    <xf numFmtId="0" fontId="73" fillId="0" borderId="0" xfId="0" applyFont="1" applyFill="1" applyBorder="1" applyAlignment="1">
      <alignment wrapText="1"/>
    </xf>
    <xf numFmtId="0" fontId="73" fillId="0" borderId="10" xfId="0" applyFont="1" applyFill="1" applyBorder="1" applyAlignment="1">
      <alignment horizontal="center" vertical="center" wrapText="1"/>
    </xf>
    <xf numFmtId="0" fontId="80" fillId="0" borderId="0" xfId="0" applyFont="1" applyFill="1" applyAlignment="1">
      <alignment horizontal="center"/>
    </xf>
    <xf numFmtId="0" fontId="80" fillId="0" borderId="0" xfId="0" applyFont="1" applyFill="1" applyAlignment="1">
      <alignment horizontal="center" vertical="center"/>
    </xf>
    <xf numFmtId="0" fontId="73" fillId="0" borderId="10" xfId="0" applyFont="1" applyFill="1" applyBorder="1" applyAlignment="1">
      <alignment horizontal="center" vertical="center"/>
    </xf>
    <xf numFmtId="0" fontId="80" fillId="0" borderId="21" xfId="46" applyFont="1" applyFill="1" applyBorder="1" applyAlignment="1">
      <alignment horizontal="center"/>
    </xf>
    <xf numFmtId="0" fontId="82" fillId="0" borderId="0" xfId="44" applyFont="1" applyFill="1" applyBorder="1" applyAlignment="1">
      <alignment horizontal="center"/>
    </xf>
    <xf numFmtId="0" fontId="73" fillId="0" borderId="0" xfId="0" applyFont="1" applyFill="1" applyAlignment="1">
      <alignment horizontal="center" vertical="center"/>
    </xf>
    <xf numFmtId="0" fontId="72" fillId="0" borderId="0" xfId="55" applyFont="1"/>
    <xf numFmtId="0" fontId="72" fillId="0" borderId="0" xfId="55" applyFont="1" applyAlignment="1">
      <alignment horizontal="center"/>
    </xf>
    <xf numFmtId="49" fontId="72" fillId="27" borderId="10" xfId="55" applyNumberFormat="1" applyFont="1" applyFill="1" applyBorder="1" applyAlignment="1">
      <alignment horizontal="center" vertical="center"/>
    </xf>
    <xf numFmtId="0" fontId="72" fillId="27" borderId="10" xfId="55" applyFont="1" applyFill="1" applyBorder="1" applyAlignment="1">
      <alignment horizontal="center" vertical="center" wrapText="1"/>
    </xf>
    <xf numFmtId="0" fontId="73" fillId="0" borderId="0" xfId="0" applyFont="1" applyFill="1" applyAlignment="1">
      <alignment wrapText="1"/>
    </xf>
    <xf numFmtId="0" fontId="73" fillId="0" borderId="0" xfId="0" applyFont="1" applyFill="1" applyAlignment="1">
      <alignment horizontal="center" vertical="center"/>
    </xf>
    <xf numFmtId="0" fontId="87" fillId="0" borderId="0" xfId="55" applyFont="1" applyAlignment="1">
      <alignment horizontal="center" vertical="center"/>
    </xf>
    <xf numFmtId="0" fontId="78" fillId="0" borderId="10" xfId="55" applyFont="1" applyFill="1" applyBorder="1" applyAlignment="1">
      <alignment horizontal="center" vertical="center"/>
    </xf>
    <xf numFmtId="0" fontId="80" fillId="0" borderId="0" xfId="0" applyFont="1" applyFill="1" applyAlignment="1">
      <alignment vertical="center"/>
    </xf>
    <xf numFmtId="0" fontId="93" fillId="0" borderId="10" xfId="0" applyFont="1" applyFill="1" applyBorder="1" applyAlignment="1">
      <alignment vertical="center"/>
    </xf>
    <xf numFmtId="0" fontId="82" fillId="0" borderId="0" xfId="44" applyFont="1" applyFill="1" applyBorder="1" applyAlignment="1"/>
    <xf numFmtId="0" fontId="80" fillId="0" borderId="0" xfId="0" applyFont="1" applyFill="1" applyAlignment="1">
      <alignment horizontal="left"/>
    </xf>
    <xf numFmtId="0" fontId="73" fillId="0" borderId="0" xfId="0" applyFont="1" applyFill="1" applyAlignment="1">
      <alignment horizontal="left"/>
    </xf>
    <xf numFmtId="168" fontId="87" fillId="27" borderId="10" xfId="55" applyNumberFormat="1" applyFont="1" applyFill="1" applyBorder="1" applyAlignment="1">
      <alignment horizontal="center" vertical="center"/>
    </xf>
    <xf numFmtId="0" fontId="72" fillId="27" borderId="0" xfId="37" applyFont="1" applyFill="1"/>
    <xf numFmtId="168" fontId="87" fillId="25" borderId="10" xfId="55" applyNumberFormat="1" applyFont="1" applyFill="1" applyBorder="1" applyAlignment="1">
      <alignment horizontal="center" vertical="center"/>
    </xf>
    <xf numFmtId="49" fontId="77" fillId="24" borderId="10" xfId="55" applyNumberFormat="1" applyFont="1" applyFill="1" applyBorder="1" applyAlignment="1">
      <alignment horizontal="center" vertical="center"/>
    </xf>
    <xf numFmtId="49" fontId="71" fillId="0" borderId="10" xfId="55" applyNumberFormat="1" applyFont="1" applyFill="1" applyBorder="1" applyAlignment="1">
      <alignment horizontal="center" vertical="center"/>
    </xf>
    <xf numFmtId="0" fontId="71" fillId="0" borderId="12" xfId="55" applyFont="1" applyFill="1" applyBorder="1" applyAlignment="1">
      <alignment horizontal="center" vertical="center" wrapText="1"/>
    </xf>
    <xf numFmtId="0" fontId="71" fillId="0" borderId="0" xfId="55" applyFont="1" applyFill="1"/>
    <xf numFmtId="0" fontId="71" fillId="0" borderId="10" xfId="55" applyFont="1" applyBorder="1"/>
    <xf numFmtId="49" fontId="71" fillId="24" borderId="10" xfId="55" applyNumberFormat="1" applyFont="1" applyFill="1" applyBorder="1" applyAlignment="1">
      <alignment horizontal="center" vertical="center"/>
    </xf>
    <xf numFmtId="0" fontId="71" fillId="24" borderId="12" xfId="55" applyFont="1" applyFill="1" applyBorder="1" applyAlignment="1">
      <alignment horizontal="center" vertical="center" wrapText="1"/>
    </xf>
    <xf numFmtId="0" fontId="102" fillId="0" borderId="0" xfId="37" applyFont="1" applyAlignment="1">
      <alignment horizontal="right" vertical="center"/>
    </xf>
    <xf numFmtId="0" fontId="77" fillId="0" borderId="0" xfId="55" applyFont="1" applyBorder="1" applyAlignment="1">
      <alignment horizontal="center" vertical="center" wrapText="1"/>
    </xf>
    <xf numFmtId="0" fontId="102" fillId="0" borderId="0" xfId="37" applyFont="1" applyAlignment="1">
      <alignment horizontal="right"/>
    </xf>
    <xf numFmtId="0" fontId="102" fillId="0" borderId="0" xfId="0" applyFont="1" applyFill="1" applyAlignment="1"/>
    <xf numFmtId="0" fontId="71" fillId="0" borderId="0" xfId="55" applyFont="1" applyAlignment="1">
      <alignment vertical="center"/>
    </xf>
    <xf numFmtId="0" fontId="102" fillId="0" borderId="0" xfId="55" applyFont="1"/>
    <xf numFmtId="0" fontId="71" fillId="0" borderId="10" xfId="55" applyFont="1" applyBorder="1" applyAlignment="1">
      <alignment horizontal="center"/>
    </xf>
    <xf numFmtId="49" fontId="71" fillId="0" borderId="10" xfId="55" applyNumberFormat="1" applyFont="1" applyBorder="1" applyAlignment="1">
      <alignment horizontal="center"/>
    </xf>
    <xf numFmtId="0" fontId="77" fillId="24" borderId="12" xfId="55" applyFont="1" applyFill="1" applyBorder="1" applyAlignment="1">
      <alignment horizontal="center" vertical="center" wrapText="1"/>
    </xf>
    <xf numFmtId="0" fontId="77" fillId="24" borderId="12" xfId="55" applyFont="1" applyFill="1" applyBorder="1" applyAlignment="1">
      <alignment horizontal="center" wrapText="1"/>
    </xf>
    <xf numFmtId="0" fontId="78" fillId="0" borderId="0" xfId="55" applyFont="1"/>
    <xf numFmtId="49" fontId="106" fillId="24" borderId="10" xfId="55" applyNumberFormat="1" applyFont="1" applyFill="1" applyBorder="1" applyAlignment="1">
      <alignment horizontal="center" vertical="center"/>
    </xf>
    <xf numFmtId="0" fontId="106" fillId="24" borderId="10" xfId="55" applyFont="1" applyFill="1" applyBorder="1" applyAlignment="1">
      <alignment horizontal="center" vertical="center" wrapText="1"/>
    </xf>
    <xf numFmtId="0" fontId="106" fillId="24" borderId="10" xfId="55" applyFont="1" applyFill="1" applyBorder="1" applyAlignment="1">
      <alignment horizontal="center" vertical="center"/>
    </xf>
    <xf numFmtId="49" fontId="106" fillId="0" borderId="10" xfId="55" applyNumberFormat="1" applyFont="1" applyFill="1" applyBorder="1" applyAlignment="1">
      <alignment horizontal="center" vertical="center"/>
    </xf>
    <xf numFmtId="0" fontId="106" fillId="0" borderId="12" xfId="55" applyFont="1" applyFill="1" applyBorder="1" applyAlignment="1">
      <alignment horizontal="center" vertical="center" wrapText="1"/>
    </xf>
    <xf numFmtId="49" fontId="78" fillId="0" borderId="10" xfId="55" applyNumberFormat="1" applyFont="1" applyFill="1" applyBorder="1" applyAlignment="1">
      <alignment horizontal="center" vertical="center"/>
    </xf>
    <xf numFmtId="0" fontId="78" fillId="0" borderId="12" xfId="55" applyFont="1" applyFill="1" applyBorder="1" applyAlignment="1">
      <alignment horizontal="center" vertical="center" wrapText="1"/>
    </xf>
    <xf numFmtId="0" fontId="107" fillId="0" borderId="12" xfId="0" applyFont="1" applyFill="1" applyBorder="1" applyAlignment="1">
      <alignment horizontal="center" vertical="center" wrapText="1"/>
    </xf>
    <xf numFmtId="49" fontId="106" fillId="25" borderId="10" xfId="55" applyNumberFormat="1" applyFont="1" applyFill="1" applyBorder="1" applyAlignment="1">
      <alignment horizontal="center" vertical="center"/>
    </xf>
    <xf numFmtId="0" fontId="106" fillId="25" borderId="10" xfId="55" applyFont="1" applyFill="1" applyBorder="1" applyAlignment="1">
      <alignment horizontal="center" vertical="center"/>
    </xf>
    <xf numFmtId="168" fontId="78" fillId="0" borderId="10" xfId="55" applyNumberFormat="1" applyFont="1" applyFill="1" applyBorder="1" applyAlignment="1">
      <alignment horizontal="center" vertical="center"/>
    </xf>
    <xf numFmtId="49" fontId="78" fillId="24" borderId="10" xfId="55" applyNumberFormat="1" applyFont="1" applyFill="1" applyBorder="1" applyAlignment="1">
      <alignment horizontal="center" vertical="center"/>
    </xf>
    <xf numFmtId="0" fontId="78" fillId="24" borderId="12" xfId="55" applyFont="1" applyFill="1" applyBorder="1" applyAlignment="1">
      <alignment horizontal="center" vertical="center" wrapText="1"/>
    </xf>
    <xf numFmtId="0" fontId="78" fillId="0" borderId="0" xfId="55" applyFont="1" applyAlignment="1">
      <alignment horizontal="center" vertical="center"/>
    </xf>
    <xf numFmtId="0" fontId="108" fillId="0" borderId="0" xfId="55" applyFont="1"/>
    <xf numFmtId="168" fontId="106" fillId="24" borderId="10" xfId="55" applyNumberFormat="1" applyFont="1" applyFill="1" applyBorder="1" applyAlignment="1">
      <alignment horizontal="center" vertical="center"/>
    </xf>
    <xf numFmtId="0" fontId="102" fillId="0" borderId="0" xfId="0" applyFont="1" applyFill="1"/>
    <xf numFmtId="0" fontId="102" fillId="0" borderId="0" xfId="0" applyFont="1"/>
    <xf numFmtId="0" fontId="109" fillId="24" borderId="10" xfId="0" applyFont="1" applyFill="1" applyBorder="1" applyAlignment="1">
      <alignment horizontal="center" vertical="center"/>
    </xf>
    <xf numFmtId="0" fontId="106" fillId="0" borderId="10" xfId="55" applyFont="1" applyFill="1" applyBorder="1" applyAlignment="1">
      <alignment horizontal="center" vertical="center" wrapText="1"/>
    </xf>
    <xf numFmtId="0" fontId="107" fillId="0" borderId="10" xfId="0" applyFont="1" applyFill="1" applyBorder="1" applyAlignment="1">
      <alignment horizontal="center" vertical="center"/>
    </xf>
    <xf numFmtId="0" fontId="106" fillId="25" borderId="10" xfId="55" applyFont="1" applyFill="1" applyBorder="1" applyAlignment="1">
      <alignment horizontal="center" vertical="center" wrapText="1"/>
    </xf>
    <xf numFmtId="0" fontId="109" fillId="25" borderId="10" xfId="0" applyFont="1" applyFill="1" applyBorder="1" applyAlignment="1">
      <alignment horizontal="center" vertical="center"/>
    </xf>
    <xf numFmtId="0" fontId="78" fillId="24" borderId="10" xfId="55" applyFont="1" applyFill="1" applyBorder="1" applyAlignment="1">
      <alignment horizontal="center" vertical="center" wrapText="1"/>
    </xf>
    <xf numFmtId="0" fontId="107" fillId="24" borderId="10" xfId="0" applyFont="1" applyFill="1" applyBorder="1" applyAlignment="1">
      <alignment horizontal="center" vertical="center"/>
    </xf>
    <xf numFmtId="0" fontId="78" fillId="0" borderId="10" xfId="55" applyFont="1" applyFill="1" applyBorder="1" applyAlignment="1">
      <alignment horizontal="center" vertical="center" wrapText="1"/>
    </xf>
    <xf numFmtId="0" fontId="102" fillId="0" borderId="0" xfId="0" applyFont="1" applyFill="1" applyAlignment="1">
      <alignment horizontal="center"/>
    </xf>
    <xf numFmtId="0" fontId="102" fillId="0" borderId="0" xfId="0" applyFont="1" applyAlignment="1">
      <alignment horizontal="center"/>
    </xf>
    <xf numFmtId="0" fontId="110" fillId="0" borderId="0" xfId="44" applyFont="1" applyFill="1" applyBorder="1" applyAlignment="1">
      <alignment horizontal="center"/>
    </xf>
    <xf numFmtId="0" fontId="71" fillId="0" borderId="0" xfId="55" applyFont="1" applyAlignment="1">
      <alignment horizontal="center"/>
    </xf>
    <xf numFmtId="0" fontId="101" fillId="0" borderId="0" xfId="46" applyFont="1" applyFill="1" applyBorder="1" applyAlignment="1">
      <alignment horizontal="center"/>
    </xf>
    <xf numFmtId="0" fontId="111" fillId="0" borderId="10" xfId="45" applyFont="1" applyFill="1" applyBorder="1" applyAlignment="1">
      <alignment horizontal="center" vertical="center" textRotation="90" wrapText="1"/>
    </xf>
    <xf numFmtId="0" fontId="102" fillId="0" borderId="10" xfId="0" applyFont="1" applyFill="1" applyBorder="1" applyAlignment="1">
      <alignment horizontal="center" vertical="center" textRotation="90" wrapText="1"/>
    </xf>
    <xf numFmtId="0" fontId="111" fillId="0" borderId="0" xfId="45" applyFont="1" applyFill="1" applyBorder="1" applyAlignment="1">
      <alignment horizontal="center" vertical="center" textRotation="90" wrapText="1"/>
    </xf>
    <xf numFmtId="0" fontId="102" fillId="0" borderId="0" xfId="0" applyFont="1" applyFill="1" applyBorder="1" applyAlignment="1">
      <alignment horizontal="center" vertical="center" textRotation="90" wrapText="1"/>
    </xf>
    <xf numFmtId="0" fontId="111" fillId="0" borderId="10" xfId="45" applyFont="1" applyFill="1" applyBorder="1" applyAlignment="1">
      <alignment horizontal="center" vertical="center"/>
    </xf>
    <xf numFmtId="49" fontId="111" fillId="0" borderId="10" xfId="45" applyNumberFormat="1" applyFont="1" applyFill="1" applyBorder="1" applyAlignment="1">
      <alignment horizontal="center" vertical="center"/>
    </xf>
    <xf numFmtId="0" fontId="112" fillId="0" borderId="0" xfId="45" applyFont="1" applyFill="1" applyBorder="1" applyAlignment="1">
      <alignment horizontal="center" vertical="center"/>
    </xf>
    <xf numFmtId="0" fontId="109" fillId="0" borderId="0" xfId="0" applyFont="1" applyFill="1" applyAlignment="1">
      <alignment horizontal="center" vertical="center"/>
    </xf>
    <xf numFmtId="0" fontId="109" fillId="0" borderId="0" xfId="0" applyFont="1" applyFill="1" applyBorder="1" applyAlignment="1">
      <alignment horizontal="center" vertical="center"/>
    </xf>
    <xf numFmtId="0" fontId="107" fillId="0" borderId="10" xfId="0" applyFont="1" applyFill="1" applyBorder="1" applyAlignment="1">
      <alignment vertical="center"/>
    </xf>
    <xf numFmtId="0" fontId="107" fillId="0" borderId="0" xfId="0" applyFont="1" applyFill="1" applyAlignment="1">
      <alignment vertical="center"/>
    </xf>
    <xf numFmtId="168" fontId="106" fillId="25" borderId="10" xfId="55" applyNumberFormat="1" applyFont="1" applyFill="1" applyBorder="1" applyAlignment="1">
      <alignment horizontal="center" vertical="center"/>
    </xf>
    <xf numFmtId="168" fontId="109" fillId="25" borderId="10" xfId="0" applyNumberFormat="1" applyFont="1" applyFill="1" applyBorder="1" applyAlignment="1">
      <alignment horizontal="center" vertical="center"/>
    </xf>
    <xf numFmtId="168" fontId="107" fillId="0" borderId="10" xfId="0" applyNumberFormat="1" applyFont="1" applyFill="1" applyBorder="1" applyAlignment="1">
      <alignment horizontal="center" vertical="center"/>
    </xf>
    <xf numFmtId="168" fontId="78" fillId="24" borderId="10" xfId="55" applyNumberFormat="1" applyFont="1" applyFill="1" applyBorder="1" applyAlignment="1">
      <alignment horizontal="center" vertical="center"/>
    </xf>
    <xf numFmtId="0" fontId="107" fillId="24" borderId="10" xfId="0" applyFont="1" applyFill="1" applyBorder="1" applyAlignment="1">
      <alignment vertical="center"/>
    </xf>
    <xf numFmtId="0" fontId="91" fillId="0" borderId="0" xfId="0" applyFont="1"/>
    <xf numFmtId="0" fontId="91" fillId="0" borderId="0" xfId="0" applyFont="1" applyAlignment="1">
      <alignment horizontal="center"/>
    </xf>
    <xf numFmtId="0" fontId="96" fillId="0" borderId="0" xfId="55" applyFont="1" applyAlignment="1">
      <alignment horizontal="center" vertical="center"/>
    </xf>
    <xf numFmtId="0" fontId="96" fillId="0" borderId="12" xfId="55" applyFont="1" applyFill="1" applyBorder="1" applyAlignment="1">
      <alignment horizontal="center" vertical="center" wrapText="1"/>
    </xf>
    <xf numFmtId="0" fontId="87" fillId="0" borderId="12" xfId="55" applyFont="1" applyFill="1" applyBorder="1" applyAlignment="1">
      <alignment horizontal="center" vertical="center" wrapText="1"/>
    </xf>
    <xf numFmtId="0" fontId="93" fillId="0" borderId="12" xfId="0" applyFont="1" applyFill="1" applyBorder="1" applyAlignment="1">
      <alignment horizontal="center" vertical="center" wrapText="1"/>
    </xf>
    <xf numFmtId="49" fontId="96" fillId="25" borderId="10" xfId="55" applyNumberFormat="1" applyFont="1" applyFill="1" applyBorder="1" applyAlignment="1">
      <alignment horizontal="center" vertical="center"/>
    </xf>
    <xf numFmtId="0" fontId="96" fillId="25" borderId="12" xfId="55" applyFont="1" applyFill="1" applyBorder="1" applyAlignment="1">
      <alignment horizontal="center" vertical="center" wrapText="1"/>
    </xf>
    <xf numFmtId="0" fontId="87" fillId="25" borderId="12" xfId="55" applyFont="1" applyFill="1" applyBorder="1" applyAlignment="1">
      <alignment horizontal="center" vertical="center" wrapText="1"/>
    </xf>
    <xf numFmtId="0" fontId="87" fillId="25" borderId="10" xfId="55" applyFont="1" applyFill="1" applyBorder="1" applyAlignment="1">
      <alignment horizontal="center" vertical="center"/>
    </xf>
    <xf numFmtId="0" fontId="87" fillId="0" borderId="0" xfId="55" applyFont="1" applyFill="1" applyAlignment="1">
      <alignment horizontal="center" vertical="center"/>
    </xf>
    <xf numFmtId="0" fontId="87" fillId="0" borderId="10" xfId="55" applyFont="1" applyBorder="1" applyAlignment="1">
      <alignment horizontal="center" vertical="center"/>
    </xf>
    <xf numFmtId="0" fontId="93" fillId="0" borderId="0" xfId="0" applyFont="1" applyFill="1" applyAlignment="1"/>
    <xf numFmtId="0" fontId="87" fillId="0" borderId="0" xfId="55" applyFont="1" applyBorder="1"/>
    <xf numFmtId="0" fontId="96" fillId="0" borderId="0" xfId="55" applyFont="1" applyAlignment="1">
      <alignment vertical="center"/>
    </xf>
    <xf numFmtId="0" fontId="96" fillId="0" borderId="12" xfId="55" applyFont="1" applyFill="1" applyBorder="1" applyAlignment="1">
      <alignment horizontal="center" wrapText="1"/>
    </xf>
    <xf numFmtId="0" fontId="96" fillId="25" borderId="0" xfId="55" applyFont="1" applyFill="1" applyAlignment="1">
      <alignment vertical="center"/>
    </xf>
    <xf numFmtId="0" fontId="87" fillId="25" borderId="0" xfId="55" applyFont="1" applyFill="1"/>
    <xf numFmtId="0" fontId="87" fillId="0" borderId="0" xfId="55" applyFont="1" applyFill="1"/>
    <xf numFmtId="0" fontId="87" fillId="24" borderId="12" xfId="55" applyFont="1" applyFill="1" applyBorder="1" applyAlignment="1">
      <alignment horizontal="center" vertical="center" wrapText="1"/>
    </xf>
    <xf numFmtId="0" fontId="89" fillId="0" borderId="0" xfId="55" applyFont="1" applyAlignment="1"/>
    <xf numFmtId="49" fontId="96" fillId="24" borderId="10" xfId="55" applyNumberFormat="1" applyFont="1" applyFill="1" applyBorder="1" applyAlignment="1">
      <alignment horizontal="center"/>
    </xf>
    <xf numFmtId="0" fontId="96" fillId="24" borderId="10" xfId="55" applyFont="1" applyFill="1" applyBorder="1" applyAlignment="1">
      <alignment horizontal="center" wrapText="1"/>
    </xf>
    <xf numFmtId="0" fontId="96" fillId="0" borderId="0" xfId="55" applyFont="1" applyAlignment="1"/>
    <xf numFmtId="0" fontId="114" fillId="0" borderId="0" xfId="55" applyFont="1"/>
    <xf numFmtId="0" fontId="115" fillId="0" borderId="0" xfId="0" applyFont="1" applyFill="1" applyAlignment="1">
      <alignment horizontal="center" vertical="center"/>
    </xf>
    <xf numFmtId="0" fontId="115" fillId="0" borderId="0" xfId="0" applyFont="1" applyFill="1" applyAlignment="1">
      <alignment horizontal="center"/>
    </xf>
    <xf numFmtId="0" fontId="89" fillId="0" borderId="0" xfId="55" applyFont="1" applyAlignment="1">
      <alignment horizontal="center" vertical="center"/>
    </xf>
    <xf numFmtId="0" fontId="89" fillId="0" borderId="0" xfId="55" applyFont="1" applyAlignment="1">
      <alignment horizontal="center" vertical="top"/>
    </xf>
    <xf numFmtId="0" fontId="89" fillId="0" borderId="0" xfId="55" applyFont="1" applyAlignment="1">
      <alignment horizontal="center"/>
    </xf>
    <xf numFmtId="0" fontId="95" fillId="0" borderId="0" xfId="0" applyFont="1" applyFill="1" applyAlignment="1">
      <alignment horizontal="center"/>
    </xf>
    <xf numFmtId="0" fontId="95" fillId="0" borderId="0" xfId="0" applyFont="1" applyFill="1" applyAlignment="1"/>
    <xf numFmtId="0" fontId="117" fillId="24" borderId="10" xfId="55" applyFont="1" applyFill="1" applyBorder="1" applyAlignment="1">
      <alignment horizontal="center" vertical="center" wrapText="1"/>
    </xf>
    <xf numFmtId="0" fontId="115" fillId="24" borderId="10" xfId="0" applyFont="1" applyFill="1" applyBorder="1" applyAlignment="1">
      <alignment horizontal="center" vertical="center"/>
    </xf>
    <xf numFmtId="2" fontId="115" fillId="24" borderId="10" xfId="0" applyNumberFormat="1" applyFont="1" applyFill="1" applyBorder="1" applyAlignment="1">
      <alignment horizontal="center" vertical="center"/>
    </xf>
    <xf numFmtId="0" fontId="115" fillId="0" borderId="0" xfId="0" applyFont="1" applyFill="1"/>
    <xf numFmtId="49" fontId="117" fillId="0" borderId="10" xfId="55" applyNumberFormat="1" applyFont="1" applyFill="1" applyBorder="1" applyAlignment="1">
      <alignment horizontal="center" vertical="center"/>
    </xf>
    <xf numFmtId="0" fontId="117" fillId="0" borderId="10" xfId="55" applyFont="1" applyFill="1" applyBorder="1" applyAlignment="1">
      <alignment horizontal="center" vertical="center" wrapText="1"/>
    </xf>
    <xf numFmtId="0" fontId="95" fillId="0" borderId="10" xfId="0" applyFont="1" applyFill="1" applyBorder="1" applyAlignment="1">
      <alignment horizontal="center" vertical="center"/>
    </xf>
    <xf numFmtId="2" fontId="95" fillId="0" borderId="10" xfId="0" applyNumberFormat="1" applyFont="1" applyFill="1" applyBorder="1" applyAlignment="1">
      <alignment horizontal="center" vertical="center"/>
    </xf>
    <xf numFmtId="49" fontId="89" fillId="0" borderId="10" xfId="55" applyNumberFormat="1" applyFont="1" applyFill="1" applyBorder="1" applyAlignment="1">
      <alignment horizontal="center" vertical="center"/>
    </xf>
    <xf numFmtId="0" fontId="89" fillId="0" borderId="12" xfId="55" applyFont="1" applyFill="1" applyBorder="1" applyAlignment="1">
      <alignment horizontal="center" vertical="center" wrapText="1"/>
    </xf>
    <xf numFmtId="0" fontId="95" fillId="27" borderId="10" xfId="0" applyFont="1" applyFill="1" applyBorder="1" applyAlignment="1">
      <alignment horizontal="center" vertical="center"/>
    </xf>
    <xf numFmtId="2" fontId="95" fillId="27" borderId="10" xfId="0" applyNumberFormat="1" applyFont="1" applyFill="1" applyBorder="1" applyAlignment="1">
      <alignment horizontal="center" vertical="center"/>
    </xf>
    <xf numFmtId="0" fontId="95" fillId="27" borderId="0" xfId="0" applyFont="1" applyFill="1"/>
    <xf numFmtId="49" fontId="89" fillId="24" borderId="10" xfId="55" applyNumberFormat="1" applyFont="1" applyFill="1" applyBorder="1" applyAlignment="1">
      <alignment horizontal="center" vertical="center"/>
    </xf>
    <xf numFmtId="0" fontId="95" fillId="24" borderId="10" xfId="0" applyFont="1" applyFill="1" applyBorder="1" applyAlignment="1">
      <alignment horizontal="center" vertical="center"/>
    </xf>
    <xf numFmtId="2" fontId="95" fillId="24" borderId="10" xfId="0" applyNumberFormat="1" applyFont="1" applyFill="1" applyBorder="1" applyAlignment="1">
      <alignment horizontal="center" vertical="center"/>
    </xf>
    <xf numFmtId="0" fontId="89" fillId="0" borderId="10" xfId="55" applyFont="1" applyFill="1" applyBorder="1" applyAlignment="1">
      <alignment horizontal="center" vertical="center" wrapText="1"/>
    </xf>
    <xf numFmtId="17" fontId="95" fillId="0" borderId="10" xfId="37" applyNumberFormat="1" applyFont="1" applyFill="1" applyBorder="1" applyAlignment="1">
      <alignment horizontal="center" vertical="center"/>
    </xf>
    <xf numFmtId="49" fontId="96" fillId="26" borderId="10" xfId="55" applyNumberFormat="1" applyFont="1" applyFill="1" applyBorder="1" applyAlignment="1">
      <alignment horizontal="center" vertical="center"/>
    </xf>
    <xf numFmtId="0" fontId="96" fillId="26" borderId="12" xfId="55" applyFont="1" applyFill="1" applyBorder="1" applyAlignment="1">
      <alignment horizontal="center" vertical="center" wrapText="1"/>
    </xf>
    <xf numFmtId="0" fontId="96" fillId="26" borderId="10" xfId="55" applyFont="1" applyFill="1" applyBorder="1" applyAlignment="1">
      <alignment horizontal="center" vertical="center"/>
    </xf>
    <xf numFmtId="168" fontId="96" fillId="26" borderId="10" xfId="55" applyNumberFormat="1" applyFont="1" applyFill="1" applyBorder="1" applyAlignment="1">
      <alignment horizontal="center" vertical="center"/>
    </xf>
    <xf numFmtId="49" fontId="87" fillId="26" borderId="10" xfId="55" applyNumberFormat="1" applyFont="1" applyFill="1" applyBorder="1" applyAlignment="1">
      <alignment horizontal="center" vertical="center"/>
    </xf>
    <xf numFmtId="0" fontId="87" fillId="26" borderId="12" xfId="55" applyFont="1" applyFill="1" applyBorder="1" applyAlignment="1">
      <alignment horizontal="center" vertical="center" wrapText="1"/>
    </xf>
    <xf numFmtId="0" fontId="87" fillId="26" borderId="10" xfId="55" applyFont="1" applyFill="1" applyBorder="1" applyAlignment="1">
      <alignment horizontal="center" vertical="center"/>
    </xf>
    <xf numFmtId="168" fontId="87" fillId="26" borderId="10" xfId="55" applyNumberFormat="1" applyFont="1" applyFill="1" applyBorder="1" applyAlignment="1">
      <alignment horizontal="center" vertical="center"/>
    </xf>
    <xf numFmtId="49" fontId="87" fillId="27" borderId="10" xfId="55" applyNumberFormat="1" applyFont="1" applyFill="1" applyBorder="1" applyAlignment="1">
      <alignment horizontal="center" vertical="center"/>
    </xf>
    <xf numFmtId="0" fontId="87" fillId="27" borderId="12" xfId="55" applyFont="1" applyFill="1" applyBorder="1" applyAlignment="1">
      <alignment horizontal="center" vertical="center" wrapText="1"/>
    </xf>
    <xf numFmtId="0" fontId="87" fillId="27" borderId="10" xfId="55" applyFont="1" applyFill="1" applyBorder="1" applyAlignment="1">
      <alignment horizontal="center" vertical="center"/>
    </xf>
    <xf numFmtId="0" fontId="87" fillId="27" borderId="0" xfId="55" applyFont="1" applyFill="1"/>
    <xf numFmtId="0" fontId="96" fillId="27" borderId="12" xfId="55" applyFont="1" applyFill="1" applyBorder="1" applyAlignment="1">
      <alignment horizontal="center" vertical="center" wrapText="1"/>
    </xf>
    <xf numFmtId="0" fontId="96" fillId="27" borderId="12" xfId="55" applyFont="1" applyFill="1" applyBorder="1" applyAlignment="1">
      <alignment horizontal="center" wrapText="1"/>
    </xf>
    <xf numFmtId="0" fontId="89" fillId="0" borderId="0" xfId="55" applyFont="1" applyFill="1"/>
    <xf numFmtId="2" fontId="72" fillId="0" borderId="0" xfId="37" applyNumberFormat="1" applyFont="1" applyFill="1"/>
    <xf numFmtId="0" fontId="73" fillId="0" borderId="10" xfId="0" applyFont="1" applyFill="1" applyBorder="1" applyAlignment="1">
      <alignment horizontal="center" vertical="center" textRotation="90" wrapText="1"/>
    </xf>
    <xf numFmtId="0" fontId="83" fillId="0" borderId="10" xfId="45" applyFont="1" applyFill="1" applyBorder="1" applyAlignment="1">
      <alignment horizontal="center" vertical="center" wrapText="1"/>
    </xf>
    <xf numFmtId="0" fontId="72" fillId="0" borderId="10" xfId="55"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0" xfId="0" applyFont="1" applyFill="1" applyAlignment="1">
      <alignment horizontal="center" vertical="center"/>
    </xf>
    <xf numFmtId="169" fontId="95" fillId="24" borderId="10" xfId="0" applyNumberFormat="1" applyFont="1" applyFill="1" applyBorder="1" applyAlignment="1">
      <alignment horizontal="center" vertical="center"/>
    </xf>
    <xf numFmtId="0" fontId="83" fillId="0" borderId="12" xfId="45" applyFont="1" applyFill="1" applyBorder="1" applyAlignment="1">
      <alignment horizontal="center" vertical="center" textRotation="90" wrapText="1"/>
    </xf>
    <xf numFmtId="49" fontId="83" fillId="0" borderId="12" xfId="45" applyNumberFormat="1" applyFont="1" applyFill="1" applyBorder="1" applyAlignment="1">
      <alignment horizontal="center" vertical="center"/>
    </xf>
    <xf numFmtId="0" fontId="92" fillId="24" borderId="12" xfId="0" applyFont="1" applyFill="1" applyBorder="1" applyAlignment="1">
      <alignment horizontal="center" vertical="center"/>
    </xf>
    <xf numFmtId="0" fontId="93" fillId="0" borderId="12" xfId="0" applyFont="1" applyFill="1" applyBorder="1" applyAlignment="1">
      <alignment horizontal="center" vertical="center"/>
    </xf>
    <xf numFmtId="0" fontId="92" fillId="25" borderId="12" xfId="0" applyFont="1" applyFill="1" applyBorder="1" applyAlignment="1">
      <alignment horizontal="center" vertical="center"/>
    </xf>
    <xf numFmtId="49" fontId="83" fillId="0" borderId="18" xfId="45" applyNumberFormat="1" applyFont="1" applyFill="1" applyBorder="1" applyAlignment="1">
      <alignment horizontal="center" vertical="center"/>
    </xf>
    <xf numFmtId="0" fontId="93" fillId="0" borderId="18" xfId="0" applyFont="1" applyFill="1" applyBorder="1" applyAlignment="1">
      <alignment horizontal="center" vertical="center"/>
    </xf>
    <xf numFmtId="0" fontId="83" fillId="0" borderId="30" xfId="45" applyFont="1" applyFill="1" applyBorder="1" applyAlignment="1">
      <alignment horizontal="center" vertical="center" wrapText="1"/>
    </xf>
    <xf numFmtId="0" fontId="73" fillId="0" borderId="30" xfId="0" applyFont="1" applyFill="1" applyBorder="1" applyAlignment="1">
      <alignment horizontal="center" vertical="center" textRotation="90" wrapText="1"/>
    </xf>
    <xf numFmtId="0" fontId="83" fillId="0" borderId="31" xfId="45" applyFont="1" applyFill="1" applyBorder="1" applyAlignment="1">
      <alignment horizontal="center" vertical="center" textRotation="90" wrapText="1"/>
    </xf>
    <xf numFmtId="49" fontId="83" fillId="0" borderId="30" xfId="45" applyNumberFormat="1" applyFont="1" applyFill="1" applyBorder="1" applyAlignment="1">
      <alignment horizontal="center" vertical="center"/>
    </xf>
    <xf numFmtId="49" fontId="83" fillId="0" borderId="31" xfId="45" applyNumberFormat="1" applyFont="1" applyFill="1" applyBorder="1" applyAlignment="1">
      <alignment horizontal="center" vertical="center"/>
    </xf>
    <xf numFmtId="2" fontId="92" fillId="24" borderId="30" xfId="0" applyNumberFormat="1" applyFont="1" applyFill="1" applyBorder="1" applyAlignment="1">
      <alignment horizontal="center" vertical="center"/>
    </xf>
    <xf numFmtId="0" fontId="92" fillId="24" borderId="31" xfId="0" applyFont="1" applyFill="1" applyBorder="1" applyAlignment="1">
      <alignment horizontal="center" vertical="center"/>
    </xf>
    <xf numFmtId="2" fontId="93" fillId="0" borderId="30" xfId="0" applyNumberFormat="1" applyFont="1" applyFill="1" applyBorder="1" applyAlignment="1">
      <alignment horizontal="center" vertical="center"/>
    </xf>
    <xf numFmtId="0" fontId="93" fillId="0" borderId="31" xfId="0" applyFont="1" applyFill="1" applyBorder="1" applyAlignment="1">
      <alignment horizontal="center" vertical="center"/>
    </xf>
    <xf numFmtId="2" fontId="92" fillId="25" borderId="30" xfId="0" applyNumberFormat="1" applyFont="1" applyFill="1" applyBorder="1" applyAlignment="1">
      <alignment horizontal="center" vertical="center"/>
    </xf>
    <xf numFmtId="0" fontId="92" fillId="25" borderId="31" xfId="0" applyFont="1" applyFill="1" applyBorder="1" applyAlignment="1">
      <alignment horizontal="center" vertical="center"/>
    </xf>
    <xf numFmtId="0" fontId="93" fillId="0" borderId="30" xfId="0" applyFont="1" applyFill="1" applyBorder="1" applyAlignment="1">
      <alignment horizontal="center" vertical="center"/>
    </xf>
    <xf numFmtId="0" fontId="92" fillId="24" borderId="18" xfId="0" applyFont="1" applyFill="1" applyBorder="1" applyAlignment="1">
      <alignment horizontal="center" vertical="center"/>
    </xf>
    <xf numFmtId="0" fontId="92" fillId="25" borderId="18" xfId="0" applyFont="1" applyFill="1" applyBorder="1" applyAlignment="1">
      <alignment horizontal="center" vertical="center"/>
    </xf>
    <xf numFmtId="0" fontId="119" fillId="0" borderId="0" xfId="0" applyFont="1" applyFill="1" applyAlignment="1">
      <alignment horizontal="center" vertical="center"/>
    </xf>
    <xf numFmtId="0" fontId="87" fillId="0" borderId="0" xfId="55" applyFont="1" applyAlignment="1">
      <alignment horizontal="center" vertical="center"/>
    </xf>
    <xf numFmtId="0" fontId="95" fillId="0" borderId="10" xfId="0" applyFont="1" applyFill="1" applyBorder="1" applyAlignment="1">
      <alignment horizontal="center" vertical="center" wrapText="1"/>
    </xf>
    <xf numFmtId="0" fontId="120" fillId="0" borderId="0" xfId="0" applyFont="1" applyFill="1"/>
    <xf numFmtId="4" fontId="120" fillId="0" borderId="0" xfId="0" applyNumberFormat="1" applyFont="1" applyFill="1"/>
    <xf numFmtId="0" fontId="120" fillId="0" borderId="0" xfId="0" applyFont="1"/>
    <xf numFmtId="0" fontId="121" fillId="0" borderId="0" xfId="0" applyFont="1" applyFill="1" applyAlignment="1"/>
    <xf numFmtId="4" fontId="121" fillId="0" borderId="0" xfId="0" applyNumberFormat="1" applyFont="1" applyFill="1" applyAlignment="1"/>
    <xf numFmtId="0" fontId="120" fillId="0" borderId="0" xfId="55" applyFont="1" applyAlignment="1">
      <alignment vertical="center"/>
    </xf>
    <xf numFmtId="4" fontId="120" fillId="0" borderId="0" xfId="55" applyNumberFormat="1" applyFont="1" applyAlignment="1">
      <alignment vertical="center"/>
    </xf>
    <xf numFmtId="0" fontId="120" fillId="0" borderId="0" xfId="55" applyFont="1"/>
    <xf numFmtId="0" fontId="120" fillId="0" borderId="0" xfId="55" applyFont="1" applyAlignment="1">
      <alignment vertical="top"/>
    </xf>
    <xf numFmtId="4" fontId="120" fillId="0" borderId="0" xfId="55" applyNumberFormat="1" applyFont="1" applyAlignment="1">
      <alignment vertical="top"/>
    </xf>
    <xf numFmtId="4" fontId="120" fillId="0" borderId="0" xfId="55" applyNumberFormat="1" applyFont="1"/>
    <xf numFmtId="0" fontId="120" fillId="0" borderId="0" xfId="0" applyFont="1" applyFill="1" applyAlignment="1"/>
    <xf numFmtId="4" fontId="120" fillId="0" borderId="0" xfId="0" applyNumberFormat="1" applyFont="1" applyFill="1" applyAlignment="1"/>
    <xf numFmtId="0" fontId="120" fillId="0" borderId="0" xfId="0" applyFont="1" applyFill="1" applyAlignment="1">
      <alignment vertical="center"/>
    </xf>
    <xf numFmtId="4" fontId="120" fillId="0" borderId="0" xfId="0" applyNumberFormat="1" applyFont="1" applyFill="1" applyAlignment="1">
      <alignment vertical="center"/>
    </xf>
    <xf numFmtId="2" fontId="120" fillId="0" borderId="0" xfId="0" applyNumberFormat="1" applyFont="1" applyFill="1" applyAlignment="1">
      <alignment vertical="center"/>
    </xf>
    <xf numFmtId="2" fontId="120" fillId="0" borderId="0" xfId="0" applyNumberFormat="1" applyFont="1" applyFill="1"/>
    <xf numFmtId="0" fontId="122" fillId="0" borderId="0" xfId="0" applyFont="1" applyFill="1"/>
    <xf numFmtId="4" fontId="122" fillId="0" borderId="0" xfId="0" applyNumberFormat="1" applyFont="1" applyFill="1"/>
    <xf numFmtId="0" fontId="122" fillId="0" borderId="0" xfId="0" applyFont="1"/>
    <xf numFmtId="0" fontId="87" fillId="0" borderId="0" xfId="55" applyFont="1" applyAlignment="1">
      <alignment vertical="center"/>
    </xf>
    <xf numFmtId="0" fontId="73" fillId="0" borderId="0" xfId="0" applyFont="1" applyFill="1" applyAlignment="1">
      <alignment horizontal="center" vertical="center"/>
    </xf>
    <xf numFmtId="49" fontId="87" fillId="28" borderId="10" xfId="55" applyNumberFormat="1" applyFont="1" applyFill="1" applyBorder="1" applyAlignment="1">
      <alignment horizontal="center" vertical="center"/>
    </xf>
    <xf numFmtId="0" fontId="87" fillId="28" borderId="12" xfId="55" applyFont="1" applyFill="1" applyBorder="1" applyAlignment="1">
      <alignment horizontal="center" vertical="center" wrapText="1"/>
    </xf>
    <xf numFmtId="0" fontId="87" fillId="28" borderId="10" xfId="55" applyFont="1" applyFill="1" applyBorder="1"/>
    <xf numFmtId="49" fontId="78" fillId="28" borderId="10" xfId="55" applyNumberFormat="1" applyFont="1" applyFill="1" applyBorder="1" applyAlignment="1">
      <alignment horizontal="center" vertical="center"/>
    </xf>
    <xf numFmtId="0" fontId="78" fillId="28" borderId="12" xfId="55" applyFont="1" applyFill="1" applyBorder="1" applyAlignment="1">
      <alignment horizontal="center" vertical="center" wrapText="1"/>
    </xf>
    <xf numFmtId="0" fontId="91" fillId="28" borderId="10" xfId="0" applyFont="1" applyFill="1" applyBorder="1" applyAlignment="1">
      <alignment horizontal="center" vertical="center"/>
    </xf>
    <xf numFmtId="0" fontId="93" fillId="28" borderId="10" xfId="0" applyFont="1" applyFill="1" applyBorder="1" applyAlignment="1">
      <alignment horizontal="center" vertical="center"/>
    </xf>
    <xf numFmtId="0" fontId="73" fillId="28" borderId="10" xfId="0" applyFont="1" applyFill="1" applyBorder="1" applyAlignment="1">
      <alignment horizontal="center" vertical="center"/>
    </xf>
    <xf numFmtId="0" fontId="73" fillId="0" borderId="10" xfId="0" applyFont="1" applyFill="1" applyBorder="1" applyAlignment="1">
      <alignment horizontal="center" vertical="center"/>
    </xf>
    <xf numFmtId="0" fontId="87" fillId="28" borderId="10" xfId="55" applyFont="1" applyFill="1" applyBorder="1" applyAlignment="1">
      <alignment horizontal="center" vertical="center" wrapText="1"/>
    </xf>
    <xf numFmtId="0" fontId="107" fillId="28" borderId="10" xfId="0" applyFont="1" applyFill="1" applyBorder="1" applyAlignment="1">
      <alignment horizontal="center" vertical="center"/>
    </xf>
    <xf numFmtId="49" fontId="91" fillId="27" borderId="10" xfId="55" applyNumberFormat="1" applyFont="1" applyFill="1" applyBorder="1" applyAlignment="1">
      <alignment horizontal="center" vertical="center"/>
    </xf>
    <xf numFmtId="0" fontId="91" fillId="27" borderId="10" xfId="0" applyFont="1" applyFill="1" applyBorder="1" applyAlignment="1">
      <alignment horizontal="left" vertical="center" wrapText="1"/>
    </xf>
    <xf numFmtId="49" fontId="96" fillId="28" borderId="10" xfId="55" applyNumberFormat="1" applyFont="1" applyFill="1" applyBorder="1" applyAlignment="1">
      <alignment horizontal="center" vertical="center"/>
    </xf>
    <xf numFmtId="0" fontId="115" fillId="28" borderId="10" xfId="0" applyFont="1" applyFill="1" applyBorder="1" applyAlignment="1">
      <alignment horizontal="center" vertical="center"/>
    </xf>
    <xf numFmtId="2" fontId="115" fillId="28" borderId="10" xfId="0" applyNumberFormat="1" applyFont="1" applyFill="1" applyBorder="1" applyAlignment="1">
      <alignment horizontal="center" vertical="center"/>
    </xf>
    <xf numFmtId="17" fontId="115" fillId="28" borderId="10" xfId="37" applyNumberFormat="1" applyFont="1" applyFill="1" applyBorder="1" applyAlignment="1">
      <alignment horizontal="center" vertical="center"/>
    </xf>
    <xf numFmtId="0" fontId="115" fillId="27" borderId="0" xfId="0" applyFont="1" applyFill="1"/>
    <xf numFmtId="2" fontId="115" fillId="27" borderId="10" xfId="0" applyNumberFormat="1" applyFont="1" applyFill="1" applyBorder="1" applyAlignment="1">
      <alignment horizontal="center" vertical="center"/>
    </xf>
    <xf numFmtId="17" fontId="115" fillId="27" borderId="10" xfId="37" applyNumberFormat="1" applyFont="1" applyFill="1" applyBorder="1" applyAlignment="1">
      <alignment horizontal="center" vertical="center"/>
    </xf>
    <xf numFmtId="1" fontId="91" fillId="0" borderId="10" xfId="0" applyNumberFormat="1" applyFont="1" applyFill="1" applyBorder="1" applyAlignment="1">
      <alignment horizontal="center" vertical="center"/>
    </xf>
    <xf numFmtId="2" fontId="115" fillId="0" borderId="0" xfId="0" applyNumberFormat="1" applyFont="1" applyFill="1"/>
    <xf numFmtId="2" fontId="95" fillId="0" borderId="0" xfId="0" applyNumberFormat="1" applyFont="1" applyFill="1"/>
    <xf numFmtId="2" fontId="95" fillId="27" borderId="0" xfId="0" applyNumberFormat="1" applyFont="1" applyFill="1"/>
    <xf numFmtId="2" fontId="115" fillId="27" borderId="0" xfId="0" applyNumberFormat="1" applyFont="1" applyFill="1"/>
    <xf numFmtId="2" fontId="95" fillId="0" borderId="0" xfId="0" applyNumberFormat="1" applyFont="1"/>
    <xf numFmtId="1" fontId="93" fillId="0" borderId="10" xfId="0" applyNumberFormat="1" applyFont="1" applyFill="1" applyBorder="1" applyAlignment="1">
      <alignment horizontal="center" vertical="center"/>
    </xf>
    <xf numFmtId="2" fontId="92" fillId="24" borderId="18" xfId="0" applyNumberFormat="1" applyFont="1" applyFill="1" applyBorder="1" applyAlignment="1">
      <alignment horizontal="center" vertical="center"/>
    </xf>
    <xf numFmtId="2" fontId="93" fillId="0" borderId="18" xfId="0" applyNumberFormat="1" applyFont="1" applyFill="1" applyBorder="1" applyAlignment="1">
      <alignment horizontal="center" vertical="center"/>
    </xf>
    <xf numFmtId="2" fontId="92" fillId="25" borderId="18" xfId="0" applyNumberFormat="1" applyFont="1" applyFill="1" applyBorder="1" applyAlignment="1">
      <alignment horizontal="center" vertical="center"/>
    </xf>
    <xf numFmtId="1" fontId="93" fillId="0" borderId="31" xfId="0" applyNumberFormat="1" applyFont="1" applyFill="1" applyBorder="1" applyAlignment="1">
      <alignment horizontal="center" vertical="center"/>
    </xf>
    <xf numFmtId="0" fontId="107" fillId="27" borderId="10" xfId="0" applyFont="1" applyFill="1" applyBorder="1" applyAlignment="1">
      <alignment horizontal="left" vertical="center" wrapText="1"/>
    </xf>
    <xf numFmtId="0" fontId="73" fillId="27" borderId="10" xfId="0" applyFont="1" applyFill="1" applyBorder="1" applyAlignment="1">
      <alignment horizontal="left" vertical="center" wrapText="1"/>
    </xf>
    <xf numFmtId="0" fontId="78" fillId="25" borderId="12" xfId="55" applyFont="1" applyFill="1" applyBorder="1" applyAlignment="1">
      <alignment horizontal="center" vertical="center" wrapText="1"/>
    </xf>
    <xf numFmtId="49" fontId="78" fillId="25" borderId="10" xfId="55" applyNumberFormat="1" applyFont="1" applyFill="1" applyBorder="1" applyAlignment="1">
      <alignment horizontal="center" vertical="center"/>
    </xf>
    <xf numFmtId="0" fontId="73" fillId="0" borderId="10" xfId="0" applyFont="1" applyFill="1" applyBorder="1" applyAlignment="1">
      <alignment horizontal="center" vertical="center"/>
    </xf>
    <xf numFmtId="0" fontId="74" fillId="24" borderId="14" xfId="55" applyFont="1" applyFill="1" applyBorder="1" applyAlignment="1">
      <alignment horizontal="center" vertical="center" wrapText="1"/>
    </xf>
    <xf numFmtId="0" fontId="73" fillId="0" borderId="21" xfId="0" applyFont="1" applyFill="1" applyBorder="1"/>
    <xf numFmtId="0" fontId="106" fillId="24" borderId="12" xfId="55" applyFont="1" applyFill="1" applyBorder="1" applyAlignment="1">
      <alignment horizontal="center" vertical="center" wrapText="1"/>
    </xf>
    <xf numFmtId="49" fontId="108" fillId="0" borderId="10" xfId="55" applyNumberFormat="1" applyFont="1" applyFill="1" applyBorder="1" applyAlignment="1">
      <alignment horizontal="center" vertical="center"/>
    </xf>
    <xf numFmtId="0" fontId="91" fillId="0" borderId="0" xfId="0" applyFont="1" applyFill="1" applyAlignment="1">
      <alignment horizontal="center"/>
    </xf>
    <xf numFmtId="0" fontId="125" fillId="0" borderId="0" xfId="0" applyFont="1" applyFill="1" applyAlignment="1">
      <alignment horizontal="center"/>
    </xf>
    <xf numFmtId="4" fontId="125" fillId="0" borderId="0" xfId="0" applyNumberFormat="1" applyFont="1" applyFill="1" applyAlignment="1">
      <alignment horizontal="center"/>
    </xf>
    <xf numFmtId="0" fontId="95" fillId="0" borderId="0" xfId="0" applyFont="1" applyFill="1" applyBorder="1" applyAlignment="1"/>
    <xf numFmtId="0" fontId="93" fillId="24" borderId="13" xfId="0" applyFont="1" applyFill="1" applyBorder="1" applyAlignment="1">
      <alignment horizontal="center" vertical="center"/>
    </xf>
    <xf numFmtId="2" fontId="93" fillId="24" borderId="13" xfId="0" applyNumberFormat="1" applyFont="1" applyFill="1" applyBorder="1" applyAlignment="1">
      <alignment horizontal="center" vertical="center"/>
    </xf>
    <xf numFmtId="0" fontId="93" fillId="24" borderId="39" xfId="0" applyFont="1" applyFill="1" applyBorder="1" applyAlignment="1">
      <alignment horizontal="center" vertical="center"/>
    </xf>
    <xf numFmtId="2" fontId="93" fillId="24" borderId="19" xfId="0" applyNumberFormat="1" applyFont="1" applyFill="1" applyBorder="1" applyAlignment="1">
      <alignment horizontal="center" vertical="center"/>
    </xf>
    <xf numFmtId="0" fontId="16" fillId="0" borderId="0" xfId="37" applyFont="1"/>
    <xf numFmtId="0" fontId="16" fillId="0" borderId="0" xfId="37" applyFont="1" applyAlignment="1">
      <alignment horizontal="right"/>
    </xf>
    <xf numFmtId="0" fontId="16" fillId="0" borderId="0" xfId="37" applyFont="1" applyFill="1"/>
    <xf numFmtId="0" fontId="16" fillId="27" borderId="0" xfId="57" applyFont="1" applyFill="1"/>
    <xf numFmtId="0" fontId="17" fillId="0" borderId="0" xfId="37" applyFont="1" applyAlignment="1">
      <alignment wrapText="1"/>
    </xf>
    <xf numFmtId="0" fontId="16" fillId="27" borderId="36" xfId="57" applyFont="1" applyFill="1" applyBorder="1" applyAlignment="1">
      <alignment horizontal="center" vertical="center" wrapText="1"/>
    </xf>
    <xf numFmtId="0" fontId="130" fillId="27" borderId="36" xfId="57" applyFont="1" applyFill="1" applyBorder="1" applyAlignment="1">
      <alignment horizontal="center" vertical="center" wrapText="1"/>
    </xf>
    <xf numFmtId="0" fontId="127" fillId="27" borderId="10" xfId="57" applyFont="1" applyFill="1" applyBorder="1" applyAlignment="1">
      <alignment horizontal="center" vertical="center" wrapText="1"/>
    </xf>
    <xf numFmtId="49" fontId="131" fillId="27" borderId="32" xfId="57" applyNumberFormat="1" applyFont="1" applyFill="1" applyBorder="1" applyAlignment="1">
      <alignment horizontal="center" vertical="center"/>
    </xf>
    <xf numFmtId="0" fontId="131" fillId="27" borderId="33" xfId="57" applyFont="1" applyFill="1" applyBorder="1" applyAlignment="1">
      <alignment horizontal="center" vertical="center" wrapText="1"/>
    </xf>
    <xf numFmtId="0" fontId="131" fillId="27" borderId="34" xfId="57" applyFont="1" applyFill="1" applyBorder="1" applyAlignment="1">
      <alignment horizontal="center" vertical="center" wrapText="1"/>
    </xf>
    <xf numFmtId="0" fontId="131" fillId="27" borderId="33" xfId="57" applyFont="1" applyFill="1" applyBorder="1" applyAlignment="1">
      <alignment horizontal="center" vertical="center"/>
    </xf>
    <xf numFmtId="0" fontId="127" fillId="27" borderId="39" xfId="57" applyFont="1" applyFill="1" applyBorder="1" applyAlignment="1">
      <alignment horizontal="center" vertical="center"/>
    </xf>
    <xf numFmtId="49" fontId="127" fillId="26" borderId="30" xfId="1812" applyNumberFormat="1" applyFont="1" applyFill="1" applyBorder="1" applyAlignment="1">
      <alignment horizontal="center" vertical="center"/>
    </xf>
    <xf numFmtId="0" fontId="16" fillId="26" borderId="10" xfId="1812" applyFont="1" applyFill="1" applyBorder="1" applyAlignment="1">
      <alignment vertical="center"/>
    </xf>
    <xf numFmtId="0" fontId="127" fillId="26" borderId="39" xfId="57" applyFont="1" applyFill="1" applyBorder="1" applyAlignment="1">
      <alignment horizontal="center" vertical="center"/>
    </xf>
    <xf numFmtId="49" fontId="127" fillId="27" borderId="30" xfId="1812" applyNumberFormat="1" applyFont="1" applyFill="1" applyBorder="1" applyAlignment="1">
      <alignment horizontal="center" vertical="center"/>
    </xf>
    <xf numFmtId="0" fontId="0" fillId="27" borderId="10" xfId="1812" applyFont="1" applyFill="1" applyBorder="1" applyAlignment="1">
      <alignment horizontal="left" vertical="center" wrapText="1" indent="1"/>
    </xf>
    <xf numFmtId="0" fontId="0" fillId="27" borderId="10" xfId="57" applyFont="1" applyFill="1" applyBorder="1" applyAlignment="1">
      <alignment horizontal="left" vertical="center" wrapText="1" indent="3"/>
    </xf>
    <xf numFmtId="0" fontId="16" fillId="27" borderId="10" xfId="57" applyFont="1" applyFill="1" applyBorder="1" applyAlignment="1">
      <alignment horizontal="left" vertical="center" wrapText="1" indent="5"/>
    </xf>
    <xf numFmtId="0" fontId="16" fillId="27" borderId="10" xfId="1812" applyFont="1" applyFill="1" applyBorder="1" applyAlignment="1">
      <alignment horizontal="left" vertical="center" wrapText="1" indent="7"/>
    </xf>
    <xf numFmtId="0" fontId="16" fillId="27" borderId="10" xfId="57" applyFont="1" applyFill="1" applyBorder="1" applyAlignment="1">
      <alignment horizontal="left" vertical="center" wrapText="1" indent="3"/>
    </xf>
    <xf numFmtId="0" fontId="16" fillId="27" borderId="10" xfId="57" applyFont="1" applyFill="1" applyBorder="1" applyAlignment="1">
      <alignment horizontal="left" vertical="center" wrapText="1" indent="1"/>
    </xf>
    <xf numFmtId="49" fontId="127" fillId="27" borderId="30" xfId="1812" applyNumberFormat="1" applyFont="1" applyFill="1" applyBorder="1" applyAlignment="1">
      <alignment horizontal="left" vertical="center" indent="1"/>
    </xf>
    <xf numFmtId="0" fontId="16" fillId="27" borderId="10" xfId="1812" applyFont="1" applyFill="1" applyBorder="1" applyAlignment="1">
      <alignment horizontal="left" vertical="center" wrapText="1" indent="1"/>
    </xf>
    <xf numFmtId="0" fontId="48" fillId="27" borderId="0" xfId="1812" applyFont="1" applyFill="1" applyAlignment="1">
      <alignment horizontal="justify"/>
    </xf>
    <xf numFmtId="49" fontId="127" fillId="27" borderId="32" xfId="1812" applyNumberFormat="1" applyFont="1" applyFill="1" applyBorder="1" applyAlignment="1">
      <alignment horizontal="center" vertical="center"/>
    </xf>
    <xf numFmtId="0" fontId="16" fillId="27" borderId="33" xfId="1812" applyFont="1" applyFill="1" applyBorder="1" applyAlignment="1">
      <alignment horizontal="left" vertical="center" wrapText="1" indent="1"/>
    </xf>
    <xf numFmtId="170" fontId="16" fillId="27" borderId="33" xfId="57" applyNumberFormat="1" applyFont="1" applyFill="1" applyBorder="1" applyAlignment="1">
      <alignment horizontal="center" vertical="center" wrapText="1"/>
    </xf>
    <xf numFmtId="49" fontId="127" fillId="27" borderId="0" xfId="57" applyNumberFormat="1" applyFont="1" applyFill="1" applyAlignment="1">
      <alignment horizontal="center" vertical="center"/>
    </xf>
    <xf numFmtId="0" fontId="16" fillId="27" borderId="0" xfId="57" applyFont="1" applyFill="1" applyAlignment="1">
      <alignment wrapText="1"/>
    </xf>
    <xf numFmtId="0" fontId="127" fillId="27" borderId="0" xfId="57" applyFont="1" applyFill="1" applyAlignment="1">
      <alignment horizontal="center" vertical="center" wrapText="1"/>
    </xf>
    <xf numFmtId="49" fontId="16" fillId="27" borderId="0" xfId="57" applyNumberFormat="1" applyFont="1" applyFill="1" applyAlignment="1">
      <alignment horizontal="left" vertical="center"/>
    </xf>
    <xf numFmtId="0" fontId="0" fillId="27" borderId="0" xfId="57" applyFont="1" applyFill="1"/>
    <xf numFmtId="4" fontId="16" fillId="27" borderId="13" xfId="57" applyNumberFormat="1" applyFont="1" applyFill="1" applyBorder="1" applyAlignment="1">
      <alignment horizontal="center" vertical="center" wrapText="1"/>
    </xf>
    <xf numFmtId="4" fontId="16" fillId="26" borderId="10" xfId="57" applyNumberFormat="1" applyFont="1" applyFill="1" applyBorder="1" applyAlignment="1">
      <alignment horizontal="center" vertical="center" wrapText="1"/>
    </xf>
    <xf numFmtId="0" fontId="87" fillId="28" borderId="10" xfId="55" applyFont="1" applyFill="1" applyBorder="1" applyAlignment="1">
      <alignment horizontal="center"/>
    </xf>
    <xf numFmtId="0" fontId="87" fillId="0" borderId="10" xfId="55" applyFont="1" applyBorder="1" applyAlignment="1">
      <alignment horizontal="center"/>
    </xf>
    <xf numFmtId="0" fontId="96" fillId="24" borderId="12" xfId="55" applyFont="1" applyFill="1" applyBorder="1" applyAlignment="1">
      <alignment horizontal="center" vertical="center" wrapText="1"/>
    </xf>
    <xf numFmtId="0" fontId="91" fillId="0" borderId="31" xfId="0" applyFont="1" applyFill="1" applyBorder="1" applyAlignment="1">
      <alignment horizontal="center" vertical="center"/>
    </xf>
    <xf numFmtId="0" fontId="93" fillId="27" borderId="10" xfId="0" applyFont="1" applyFill="1" applyBorder="1" applyAlignment="1">
      <alignment horizontal="left" vertical="center" wrapText="1"/>
    </xf>
    <xf numFmtId="4" fontId="16" fillId="27" borderId="10" xfId="57" applyNumberFormat="1" applyFont="1" applyFill="1" applyBorder="1" applyAlignment="1">
      <alignment horizontal="center" vertical="center" wrapText="1"/>
    </xf>
    <xf numFmtId="0" fontId="102" fillId="0" borderId="10" xfId="0" applyFont="1" applyFill="1" applyBorder="1" applyAlignment="1">
      <alignment horizontal="center" vertical="center"/>
    </xf>
    <xf numFmtId="4" fontId="16" fillId="27" borderId="0" xfId="57" applyNumberFormat="1" applyFont="1" applyFill="1"/>
    <xf numFmtId="0" fontId="18" fillId="0" borderId="0" xfId="36" applyFont="1" applyFill="1" applyAlignment="1">
      <alignment vertical="center"/>
    </xf>
    <xf numFmtId="0" fontId="142" fillId="0" borderId="0" xfId="36" applyFont="1" applyFill="1" applyAlignment="1">
      <alignment vertical="center"/>
    </xf>
    <xf numFmtId="0" fontId="139" fillId="0" borderId="0" xfId="36" applyFont="1" applyFill="1" applyAlignment="1">
      <alignment vertical="top"/>
    </xf>
    <xf numFmtId="0" fontId="139" fillId="0" borderId="0" xfId="36" applyFont="1" applyFill="1"/>
    <xf numFmtId="0" fontId="143" fillId="0" borderId="0" xfId="36" applyFont="1" applyFill="1" applyAlignment="1">
      <alignment vertical="top"/>
    </xf>
    <xf numFmtId="0" fontId="139" fillId="0" borderId="0" xfId="36" applyFont="1" applyFill="1" applyAlignment="1">
      <alignment horizontal="left"/>
    </xf>
    <xf numFmtId="0" fontId="138" fillId="0" borderId="0" xfId="36" applyFont="1" applyFill="1"/>
    <xf numFmtId="0" fontId="138" fillId="0" borderId="0" xfId="36" applyFont="1" applyFill="1" applyAlignment="1">
      <alignment horizontal="center"/>
    </xf>
    <xf numFmtId="0" fontId="73" fillId="24" borderId="13" xfId="0" applyFont="1" applyFill="1" applyBorder="1" applyAlignment="1">
      <alignment horizontal="center" vertical="center"/>
    </xf>
    <xf numFmtId="0" fontId="72" fillId="0" borderId="10" xfId="55" applyFont="1" applyFill="1" applyBorder="1" applyAlignment="1">
      <alignment horizontal="center" vertical="center" wrapText="1"/>
    </xf>
    <xf numFmtId="0" fontId="72" fillId="0" borderId="10" xfId="55" applyFont="1" applyBorder="1" applyAlignment="1">
      <alignment horizontal="center" vertical="center" wrapText="1"/>
    </xf>
    <xf numFmtId="0" fontId="73" fillId="0" borderId="10" xfId="0" applyFont="1" applyFill="1" applyBorder="1" applyAlignment="1">
      <alignment horizontal="center" vertical="center" wrapText="1"/>
    </xf>
    <xf numFmtId="0" fontId="73" fillId="0" borderId="17" xfId="0" applyFont="1" applyFill="1" applyBorder="1" applyAlignment="1">
      <alignment horizontal="center" vertical="center" textRotation="90" wrapText="1"/>
    </xf>
    <xf numFmtId="0" fontId="73" fillId="0" borderId="10" xfId="0" applyFont="1" applyFill="1" applyBorder="1" applyAlignment="1">
      <alignment horizontal="center" vertical="center" textRotation="90" wrapText="1"/>
    </xf>
    <xf numFmtId="0" fontId="83" fillId="0" borderId="10" xfId="45" applyFont="1" applyFill="1" applyBorder="1" applyAlignment="1">
      <alignment horizontal="center" vertical="center" wrapText="1"/>
    </xf>
    <xf numFmtId="0" fontId="73" fillId="0" borderId="0" xfId="0" applyFont="1" applyFill="1" applyAlignment="1">
      <alignment horizontal="center" vertical="center"/>
    </xf>
    <xf numFmtId="0" fontId="72" fillId="0" borderId="0" xfId="55" applyFont="1"/>
    <xf numFmtId="0" fontId="78" fillId="0" borderId="10" xfId="37" applyFont="1" applyFill="1" applyBorder="1" applyAlignment="1">
      <alignment horizontal="center" vertical="center" wrapText="1"/>
    </xf>
    <xf numFmtId="0" fontId="72" fillId="0" borderId="0" xfId="55" applyFont="1" applyFill="1" applyAlignment="1">
      <alignment horizontal="center" vertical="top"/>
    </xf>
    <xf numFmtId="49" fontId="87" fillId="0" borderId="0" xfId="55" applyNumberFormat="1" applyFont="1" applyFill="1" applyBorder="1" applyAlignment="1">
      <alignment horizontal="center" vertical="center"/>
    </xf>
    <xf numFmtId="0" fontId="91" fillId="27" borderId="0" xfId="0" applyFont="1" applyFill="1" applyBorder="1" applyAlignment="1">
      <alignment horizontal="left" vertical="center" wrapText="1"/>
    </xf>
    <xf numFmtId="0" fontId="87" fillId="0" borderId="0" xfId="55" applyFont="1" applyFill="1" applyBorder="1" applyAlignment="1">
      <alignment horizontal="center" vertical="center"/>
    </xf>
    <xf numFmtId="0" fontId="87" fillId="0" borderId="12" xfId="55" applyFont="1" applyFill="1" applyBorder="1" applyAlignment="1">
      <alignment horizontal="center" wrapText="1"/>
    </xf>
    <xf numFmtId="49" fontId="87" fillId="0" borderId="10" xfId="55" applyNumberFormat="1" applyFont="1" applyFill="1" applyBorder="1" applyAlignment="1">
      <alignment horizontal="center" vertical="center" wrapText="1"/>
    </xf>
    <xf numFmtId="0" fontId="73" fillId="24" borderId="0" xfId="0" applyFont="1" applyFill="1"/>
    <xf numFmtId="49" fontId="87" fillId="0" borderId="10" xfId="55" applyNumberFormat="1" applyFont="1" applyFill="1" applyBorder="1" applyAlignment="1">
      <alignment horizontal="center"/>
    </xf>
    <xf numFmtId="49" fontId="89" fillId="0" borderId="10" xfId="55" applyNumberFormat="1" applyFont="1" applyFill="1" applyBorder="1" applyAlignment="1">
      <alignment horizontal="center" vertical="center" wrapText="1"/>
    </xf>
    <xf numFmtId="0" fontId="89" fillId="0" borderId="10" xfId="55" applyFont="1" applyBorder="1" applyAlignment="1">
      <alignment horizontal="center" vertical="center"/>
    </xf>
    <xf numFmtId="0" fontId="95" fillId="0" borderId="10" xfId="0" applyFont="1" applyBorder="1" applyAlignment="1">
      <alignment horizontal="center" vertical="center"/>
    </xf>
    <xf numFmtId="2" fontId="115" fillId="0" borderId="10" xfId="0" applyNumberFormat="1" applyFont="1" applyFill="1" applyBorder="1" applyAlignment="1">
      <alignment horizontal="center" vertical="center"/>
    </xf>
    <xf numFmtId="49" fontId="87" fillId="28" borderId="10" xfId="55" applyNumberFormat="1" applyFont="1" applyFill="1" applyBorder="1" applyAlignment="1">
      <alignment horizontal="center"/>
    </xf>
    <xf numFmtId="0" fontId="87" fillId="28" borderId="12" xfId="55" applyFont="1" applyFill="1" applyBorder="1" applyAlignment="1">
      <alignment horizontal="center" wrapText="1"/>
    </xf>
    <xf numFmtId="49" fontId="91" fillId="27" borderId="10" xfId="55" applyNumberFormat="1" applyFont="1" applyFill="1" applyBorder="1" applyAlignment="1">
      <alignment horizontal="center"/>
    </xf>
    <xf numFmtId="0" fontId="91" fillId="27" borderId="10" xfId="0" applyFont="1" applyFill="1" applyBorder="1" applyAlignment="1">
      <alignment horizontal="center" wrapText="1"/>
    </xf>
    <xf numFmtId="49" fontId="78" fillId="0" borderId="10" xfId="55" applyNumberFormat="1" applyFont="1" applyFill="1" applyBorder="1" applyAlignment="1">
      <alignment horizontal="center" vertical="center" wrapText="1"/>
    </xf>
    <xf numFmtId="0" fontId="78" fillId="0" borderId="10" xfId="55" applyFont="1" applyBorder="1" applyAlignment="1">
      <alignment horizontal="center" vertical="center"/>
    </xf>
    <xf numFmtId="0" fontId="93" fillId="27" borderId="10" xfId="0" applyFont="1" applyFill="1" applyBorder="1" applyAlignment="1">
      <alignment horizontal="center" vertical="center"/>
    </xf>
    <xf numFmtId="169" fontId="93" fillId="0" borderId="10" xfId="0" applyNumberFormat="1" applyFont="1" applyFill="1" applyBorder="1" applyAlignment="1">
      <alignment horizontal="center" vertical="center"/>
    </xf>
    <xf numFmtId="49" fontId="72" fillId="0" borderId="10" xfId="55" applyNumberFormat="1" applyFont="1" applyFill="1" applyBorder="1" applyAlignment="1">
      <alignment horizontal="center" vertical="center" wrapText="1"/>
    </xf>
    <xf numFmtId="2" fontId="73" fillId="0" borderId="10" xfId="0" applyNumberFormat="1" applyFont="1" applyFill="1" applyBorder="1" applyAlignment="1">
      <alignment horizontal="center" vertical="center"/>
    </xf>
    <xf numFmtId="0" fontId="93" fillId="0" borderId="10" xfId="0" applyFont="1" applyBorder="1" applyAlignment="1">
      <alignment horizontal="center" vertical="center"/>
    </xf>
    <xf numFmtId="49" fontId="74" fillId="28" borderId="10" xfId="55" applyNumberFormat="1" applyFont="1" applyFill="1" applyBorder="1" applyAlignment="1">
      <alignment horizontal="center" vertical="center"/>
    </xf>
    <xf numFmtId="0" fontId="74" fillId="28" borderId="12" xfId="55" applyFont="1" applyFill="1" applyBorder="1" applyAlignment="1">
      <alignment horizontal="center" vertical="center" wrapText="1"/>
    </xf>
    <xf numFmtId="0" fontId="80" fillId="28" borderId="10" xfId="0" applyFont="1" applyFill="1" applyBorder="1" applyAlignment="1">
      <alignment horizontal="center" vertical="center"/>
    </xf>
    <xf numFmtId="2" fontId="92" fillId="28" borderId="10" xfId="0" applyNumberFormat="1" applyFont="1" applyFill="1" applyBorder="1" applyAlignment="1">
      <alignment horizontal="center" vertical="center"/>
    </xf>
    <xf numFmtId="1" fontId="92" fillId="28" borderId="10" xfId="0" applyNumberFormat="1" applyFont="1" applyFill="1" applyBorder="1" applyAlignment="1">
      <alignment horizontal="center" vertical="center"/>
    </xf>
    <xf numFmtId="2" fontId="92" fillId="28" borderId="30" xfId="0" applyNumberFormat="1" applyFont="1" applyFill="1" applyBorder="1" applyAlignment="1">
      <alignment horizontal="center" vertical="center"/>
    </xf>
    <xf numFmtId="1" fontId="90" fillId="28" borderId="10" xfId="0" applyNumberFormat="1" applyFont="1" applyFill="1" applyBorder="1" applyAlignment="1">
      <alignment horizontal="center" vertical="center"/>
    </xf>
    <xf numFmtId="2" fontId="92" fillId="28" borderId="18" xfId="0" applyNumberFormat="1" applyFont="1" applyFill="1" applyBorder="1" applyAlignment="1">
      <alignment horizontal="center" vertical="center"/>
    </xf>
    <xf numFmtId="0" fontId="92" fillId="28" borderId="10" xfId="0" applyFont="1" applyFill="1" applyBorder="1" applyAlignment="1">
      <alignment horizontal="center" vertical="center"/>
    </xf>
    <xf numFmtId="0" fontId="96" fillId="28" borderId="10" xfId="55" applyFont="1" applyFill="1" applyBorder="1" applyAlignment="1">
      <alignment horizontal="center" vertical="center"/>
    </xf>
    <xf numFmtId="0" fontId="92" fillId="28" borderId="31" xfId="0" applyFont="1" applyFill="1" applyBorder="1" applyAlignment="1">
      <alignment horizontal="center" vertical="center"/>
    </xf>
    <xf numFmtId="0" fontId="73" fillId="27" borderId="0" xfId="0" applyFont="1" applyFill="1" applyBorder="1" applyAlignment="1">
      <alignment horizontal="left" vertical="center" wrapText="1"/>
    </xf>
    <xf numFmtId="0" fontId="91" fillId="0" borderId="0" xfId="0" applyFont="1" applyFill="1" applyBorder="1" applyAlignment="1">
      <alignment horizontal="center" vertical="center"/>
    </xf>
    <xf numFmtId="0" fontId="74" fillId="24" borderId="10" xfId="55" applyFont="1" applyFill="1" applyBorder="1" applyAlignment="1">
      <alignment horizontal="center" vertical="center"/>
    </xf>
    <xf numFmtId="49" fontId="78" fillId="0" borderId="0" xfId="55" applyNumberFormat="1" applyFont="1" applyFill="1" applyBorder="1" applyAlignment="1">
      <alignment horizontal="center" vertical="center"/>
    </xf>
    <xf numFmtId="0" fontId="87" fillId="0" borderId="0" xfId="37" applyFont="1" applyFill="1" applyBorder="1" applyAlignment="1">
      <alignment horizontal="center" vertical="center"/>
    </xf>
    <xf numFmtId="0" fontId="87" fillId="0" borderId="0" xfId="37" applyFont="1" applyFill="1" applyBorder="1" applyAlignment="1">
      <alignment horizontal="center" vertical="center" wrapText="1"/>
    </xf>
    <xf numFmtId="0" fontId="78" fillId="28" borderId="10" xfId="55" applyFont="1" applyFill="1" applyBorder="1" applyAlignment="1">
      <alignment horizontal="center" vertical="center" wrapText="1"/>
    </xf>
    <xf numFmtId="0" fontId="93" fillId="28" borderId="12" xfId="0" applyFont="1" applyFill="1" applyBorder="1" applyAlignment="1">
      <alignment horizontal="center" vertical="center"/>
    </xf>
    <xf numFmtId="0" fontId="91" fillId="28" borderId="0" xfId="0" applyFont="1" applyFill="1" applyBorder="1" applyAlignment="1">
      <alignment horizontal="center" vertical="center"/>
    </xf>
    <xf numFmtId="0" fontId="107" fillId="0" borderId="10" xfId="0" applyFont="1" applyFill="1" applyBorder="1" applyAlignment="1">
      <alignment horizontal="center" vertical="center" wrapText="1"/>
    </xf>
    <xf numFmtId="0" fontId="78" fillId="0" borderId="10" xfId="37" applyFont="1" applyBorder="1" applyAlignment="1">
      <alignment horizontal="center" vertical="center" wrapText="1"/>
    </xf>
    <xf numFmtId="0" fontId="78" fillId="0" borderId="10" xfId="55" applyFont="1" applyBorder="1" applyAlignment="1">
      <alignment horizontal="center" vertical="center" wrapText="1"/>
    </xf>
    <xf numFmtId="0" fontId="78" fillId="24" borderId="10" xfId="37" applyFont="1" applyFill="1" applyBorder="1" applyAlignment="1">
      <alignment horizontal="center" vertical="center" wrapText="1"/>
    </xf>
    <xf numFmtId="0" fontId="78" fillId="25" borderId="10" xfId="55" applyFont="1" applyFill="1" applyBorder="1" applyAlignment="1">
      <alignment horizontal="center" vertical="center" wrapText="1"/>
    </xf>
    <xf numFmtId="0" fontId="78" fillId="25" borderId="10" xfId="37" applyFont="1" applyFill="1" applyBorder="1" applyAlignment="1">
      <alignment horizontal="center" vertical="center"/>
    </xf>
    <xf numFmtId="0" fontId="78" fillId="25" borderId="10" xfId="37" applyFont="1" applyFill="1" applyBorder="1" applyAlignment="1">
      <alignment horizontal="center" vertical="center" wrapText="1"/>
    </xf>
    <xf numFmtId="0" fontId="78" fillId="28" borderId="10" xfId="37" applyFont="1" applyFill="1" applyBorder="1" applyAlignment="1">
      <alignment horizontal="center" vertical="center"/>
    </xf>
    <xf numFmtId="0" fontId="78" fillId="28" borderId="10" xfId="37" applyFont="1" applyFill="1" applyBorder="1" applyAlignment="1">
      <alignment horizontal="center" vertical="center" wrapText="1"/>
    </xf>
    <xf numFmtId="49" fontId="107" fillId="27" borderId="10" xfId="55" applyNumberFormat="1" applyFont="1" applyFill="1" applyBorder="1" applyAlignment="1">
      <alignment horizontal="center" vertical="center"/>
    </xf>
    <xf numFmtId="0" fontId="87" fillId="0" borderId="0" xfId="37" applyFont="1" applyBorder="1"/>
    <xf numFmtId="0" fontId="87" fillId="0" borderId="0" xfId="37" applyFont="1" applyBorder="1" applyAlignment="1">
      <alignment vertical="center"/>
    </xf>
    <xf numFmtId="0" fontId="87" fillId="0" borderId="0" xfId="55" applyFont="1" applyBorder="1" applyAlignment="1">
      <alignment horizontal="right"/>
    </xf>
    <xf numFmtId="0" fontId="78" fillId="25" borderId="10" xfId="55" applyFont="1" applyFill="1" applyBorder="1" applyAlignment="1">
      <alignment horizontal="center" vertical="center"/>
    </xf>
    <xf numFmtId="0" fontId="78" fillId="28" borderId="13" xfId="55" applyFont="1" applyFill="1" applyBorder="1" applyAlignment="1">
      <alignment horizontal="center" vertical="center" wrapText="1"/>
    </xf>
    <xf numFmtId="0" fontId="78" fillId="28" borderId="10" xfId="55" applyFont="1" applyFill="1" applyBorder="1" applyAlignment="1">
      <alignment horizontal="center" vertical="center"/>
    </xf>
    <xf numFmtId="49" fontId="78" fillId="28" borderId="13" xfId="55" applyNumberFormat="1" applyFont="1" applyFill="1" applyBorder="1" applyAlignment="1">
      <alignment horizontal="center" vertical="center"/>
    </xf>
    <xf numFmtId="0" fontId="78" fillId="28" borderId="13" xfId="55" applyFont="1" applyFill="1" applyBorder="1" applyAlignment="1">
      <alignment horizontal="center" vertical="center"/>
    </xf>
    <xf numFmtId="0" fontId="78" fillId="0" borderId="13" xfId="55" applyFont="1" applyFill="1" applyBorder="1" applyAlignment="1">
      <alignment horizontal="center" vertical="center"/>
    </xf>
    <xf numFmtId="0" fontId="78" fillId="0" borderId="10" xfId="37" applyFont="1" applyBorder="1" applyAlignment="1">
      <alignment horizontal="center" vertical="center"/>
    </xf>
    <xf numFmtId="0" fontId="72" fillId="24" borderId="10" xfId="37" applyFont="1" applyFill="1" applyBorder="1" applyAlignment="1">
      <alignment horizontal="center" vertical="center"/>
    </xf>
    <xf numFmtId="2" fontId="72" fillId="24" borderId="10" xfId="37" applyNumberFormat="1" applyFont="1" applyFill="1" applyBorder="1" applyAlignment="1">
      <alignment horizontal="center" vertical="center"/>
    </xf>
    <xf numFmtId="0" fontId="72" fillId="24" borderId="10" xfId="37" applyFont="1" applyFill="1" applyBorder="1" applyAlignment="1">
      <alignment vertical="center"/>
    </xf>
    <xf numFmtId="168" fontId="72" fillId="24" borderId="10" xfId="37" applyNumberFormat="1" applyFont="1" applyFill="1" applyBorder="1" applyAlignment="1">
      <alignment horizontal="center" vertical="center"/>
    </xf>
    <xf numFmtId="2" fontId="72" fillId="0" borderId="10" xfId="37" applyNumberFormat="1" applyFont="1" applyFill="1" applyBorder="1" applyAlignment="1">
      <alignment horizontal="center" vertical="center"/>
    </xf>
    <xf numFmtId="0" fontId="72" fillId="0" borderId="10" xfId="37" applyFont="1" applyFill="1" applyBorder="1" applyAlignment="1">
      <alignment vertical="center"/>
    </xf>
    <xf numFmtId="168" fontId="72" fillId="0" borderId="10" xfId="37" applyNumberFormat="1" applyFont="1" applyFill="1" applyBorder="1" applyAlignment="1">
      <alignment horizontal="center" vertical="center"/>
    </xf>
    <xf numFmtId="0" fontId="72" fillId="25" borderId="10" xfId="37" applyFont="1" applyFill="1" applyBorder="1" applyAlignment="1">
      <alignment horizontal="center" vertical="center"/>
    </xf>
    <xf numFmtId="2" fontId="72" fillId="25" borderId="10" xfId="37" applyNumberFormat="1" applyFont="1" applyFill="1" applyBorder="1" applyAlignment="1">
      <alignment horizontal="center" vertical="center"/>
    </xf>
    <xf numFmtId="0" fontId="72" fillId="25" borderId="10" xfId="37" applyFont="1" applyFill="1" applyBorder="1" applyAlignment="1">
      <alignment vertical="center"/>
    </xf>
    <xf numFmtId="168" fontId="72" fillId="25" borderId="10" xfId="37" applyNumberFormat="1" applyFont="1" applyFill="1" applyBorder="1" applyAlignment="1">
      <alignment horizontal="center" vertical="center"/>
    </xf>
    <xf numFmtId="0" fontId="72" fillId="27" borderId="10" xfId="37" applyFont="1" applyFill="1" applyBorder="1" applyAlignment="1">
      <alignment horizontal="center" vertical="center"/>
    </xf>
    <xf numFmtId="2" fontId="73" fillId="27" borderId="10" xfId="0" applyNumberFormat="1" applyFont="1" applyFill="1" applyBorder="1" applyAlignment="1">
      <alignment horizontal="center" vertical="center"/>
    </xf>
    <xf numFmtId="168" fontId="72" fillId="27" borderId="10" xfId="55" applyNumberFormat="1" applyFont="1" applyFill="1" applyBorder="1" applyAlignment="1">
      <alignment horizontal="center" vertical="center"/>
    </xf>
    <xf numFmtId="168" fontId="72" fillId="0" borderId="10" xfId="55" applyNumberFormat="1" applyFont="1" applyFill="1" applyBorder="1" applyAlignment="1">
      <alignment horizontal="center" vertical="center"/>
    </xf>
    <xf numFmtId="2" fontId="73" fillId="25" borderId="10" xfId="0" applyNumberFormat="1" applyFont="1" applyFill="1" applyBorder="1" applyAlignment="1">
      <alignment horizontal="center" vertical="center"/>
    </xf>
    <xf numFmtId="0" fontId="72" fillId="25" borderId="0" xfId="37" applyFont="1" applyFill="1" applyAlignment="1">
      <alignment horizontal="center" vertical="center"/>
    </xf>
    <xf numFmtId="49" fontId="73" fillId="27" borderId="10" xfId="55" applyNumberFormat="1" applyFont="1" applyFill="1" applyBorder="1" applyAlignment="1">
      <alignment horizontal="center" vertical="center"/>
    </xf>
    <xf numFmtId="168" fontId="72" fillId="25" borderId="10" xfId="55" applyNumberFormat="1" applyFont="1" applyFill="1" applyBorder="1" applyAlignment="1">
      <alignment horizontal="center" vertical="center"/>
    </xf>
    <xf numFmtId="2" fontId="73" fillId="24" borderId="10" xfId="0" applyNumberFormat="1" applyFont="1" applyFill="1" applyBorder="1" applyAlignment="1">
      <alignment horizontal="center" vertical="center"/>
    </xf>
    <xf numFmtId="49" fontId="72" fillId="0" borderId="0" xfId="55" applyNumberFormat="1" applyFont="1" applyFill="1" applyBorder="1" applyAlignment="1">
      <alignment horizontal="center" vertical="center"/>
    </xf>
    <xf numFmtId="0" fontId="72" fillId="27" borderId="0" xfId="37" applyFont="1" applyFill="1" applyBorder="1" applyAlignment="1">
      <alignment horizontal="center" vertical="center"/>
    </xf>
    <xf numFmtId="2" fontId="73" fillId="27" borderId="0" xfId="0" applyNumberFormat="1" applyFont="1" applyFill="1" applyBorder="1" applyAlignment="1">
      <alignment horizontal="center" vertical="center"/>
    </xf>
    <xf numFmtId="0" fontId="72" fillId="27" borderId="0" xfId="55" applyFont="1" applyFill="1" applyBorder="1" applyAlignment="1">
      <alignment horizontal="center" vertical="center" wrapText="1"/>
    </xf>
    <xf numFmtId="2" fontId="73" fillId="0" borderId="0" xfId="0" applyNumberFormat="1" applyFont="1" applyFill="1" applyBorder="1" applyAlignment="1">
      <alignment horizontal="center" vertical="center"/>
    </xf>
    <xf numFmtId="0" fontId="72" fillId="0" borderId="0" xfId="55" applyFont="1" applyFill="1" applyBorder="1" applyAlignment="1">
      <alignment horizontal="center" vertical="center" wrapText="1"/>
    </xf>
    <xf numFmtId="0" fontId="72" fillId="25" borderId="10" xfId="55" applyFont="1" applyFill="1" applyBorder="1" applyAlignment="1">
      <alignment horizontal="center" vertical="center"/>
    </xf>
    <xf numFmtId="0" fontId="37" fillId="0" borderId="10" xfId="37" applyFont="1" applyFill="1" applyBorder="1" applyAlignment="1">
      <alignment horizontal="center"/>
    </xf>
    <xf numFmtId="0" fontId="37" fillId="0" borderId="10" xfId="37" applyFont="1" applyFill="1" applyBorder="1" applyAlignment="1">
      <alignment horizontal="center" wrapText="1"/>
    </xf>
    <xf numFmtId="168" fontId="37" fillId="0" borderId="10" xfId="37" applyNumberFormat="1" applyFont="1" applyFill="1" applyBorder="1" applyAlignment="1">
      <alignment horizontal="center" wrapText="1"/>
    </xf>
    <xf numFmtId="168" fontId="37" fillId="0" borderId="10" xfId="37" applyNumberFormat="1" applyFont="1" applyFill="1" applyBorder="1" applyAlignment="1">
      <alignment horizontal="center"/>
    </xf>
    <xf numFmtId="0" fontId="37" fillId="0" borderId="10" xfId="37" applyFont="1" applyBorder="1" applyAlignment="1">
      <alignment horizontal="center" wrapText="1"/>
    </xf>
    <xf numFmtId="3" fontId="37" fillId="0" borderId="10" xfId="37" applyNumberFormat="1" applyFont="1" applyBorder="1" applyAlignment="1">
      <alignment horizontal="center"/>
    </xf>
    <xf numFmtId="0" fontId="87" fillId="28" borderId="10" xfId="55" applyFont="1" applyFill="1" applyBorder="1" applyAlignment="1">
      <alignment horizontal="center" vertical="center"/>
    </xf>
    <xf numFmtId="2" fontId="93" fillId="27" borderId="10" xfId="0" applyNumberFormat="1" applyFont="1" applyFill="1" applyBorder="1" applyAlignment="1">
      <alignment horizontal="center" vertical="center"/>
    </xf>
    <xf numFmtId="0" fontId="132" fillId="0" borderId="0" xfId="36" applyFont="1" applyFill="1"/>
    <xf numFmtId="0" fontId="132" fillId="0" borderId="0" xfId="36" applyFont="1" applyFill="1" applyAlignment="1">
      <alignment horizontal="center"/>
    </xf>
    <xf numFmtId="0" fontId="132" fillId="0" borderId="0" xfId="36" applyFont="1" applyFill="1" applyAlignment="1">
      <alignment horizontal="right"/>
    </xf>
    <xf numFmtId="0" fontId="133" fillId="0" borderId="0" xfId="36" applyFont="1" applyFill="1"/>
    <xf numFmtId="0" fontId="133" fillId="0" borderId="0" xfId="36" applyFont="1" applyFill="1" applyAlignment="1">
      <alignment horizontal="right"/>
    </xf>
    <xf numFmtId="49" fontId="133" fillId="0" borderId="21" xfId="36" applyNumberFormat="1" applyFont="1" applyFill="1" applyBorder="1" applyAlignment="1">
      <alignment horizontal="center"/>
    </xf>
    <xf numFmtId="0" fontId="133" fillId="0" borderId="0" xfId="36" applyFont="1" applyFill="1" applyAlignment="1">
      <alignment horizontal="left"/>
    </xf>
    <xf numFmtId="0" fontId="133" fillId="0" borderId="0" xfId="36" applyFont="1" applyFill="1" applyAlignment="1">
      <alignment horizontal="center"/>
    </xf>
    <xf numFmtId="0" fontId="132" fillId="0" borderId="0" xfId="36" applyFont="1" applyFill="1" applyAlignment="1">
      <alignment horizontal="left"/>
    </xf>
    <xf numFmtId="49" fontId="134" fillId="0" borderId="21" xfId="36" applyNumberFormat="1" applyFont="1" applyFill="1" applyBorder="1" applyAlignment="1"/>
    <xf numFmtId="49" fontId="132" fillId="0" borderId="21" xfId="36" applyNumberFormat="1" applyFont="1" applyFill="1" applyBorder="1" applyAlignment="1"/>
    <xf numFmtId="0" fontId="132" fillId="0" borderId="0" xfId="36" applyFont="1" applyFill="1" applyBorder="1" applyAlignment="1">
      <alignment horizontal="left"/>
    </xf>
    <xf numFmtId="0" fontId="135" fillId="0" borderId="0" xfId="36" applyFont="1" applyFill="1" applyAlignment="1">
      <alignment horizontal="left" vertical="top"/>
    </xf>
    <xf numFmtId="0" fontId="136" fillId="0" borderId="35" xfId="36" applyFont="1" applyFill="1" applyBorder="1" applyAlignment="1">
      <alignment horizontal="center" vertical="center" wrapText="1"/>
    </xf>
    <xf numFmtId="0" fontId="136" fillId="0" borderId="36" xfId="36" applyFont="1" applyFill="1" applyBorder="1" applyAlignment="1">
      <alignment horizontal="center" vertical="center" wrapText="1"/>
    </xf>
    <xf numFmtId="0" fontId="136" fillId="0" borderId="0" xfId="36" applyFont="1" applyFill="1"/>
    <xf numFmtId="0" fontId="136" fillId="0" borderId="30" xfId="36" applyFont="1" applyFill="1" applyBorder="1" applyAlignment="1">
      <alignment horizontal="center" vertical="center" wrapText="1"/>
    </xf>
    <xf numFmtId="0" fontId="136" fillId="0" borderId="10" xfId="36" applyFont="1" applyFill="1" applyBorder="1" applyAlignment="1">
      <alignment horizontal="center" vertical="center" wrapText="1"/>
    </xf>
    <xf numFmtId="0" fontId="136" fillId="0" borderId="31" xfId="36" applyFont="1" applyFill="1" applyBorder="1" applyAlignment="1">
      <alignment horizontal="center" vertical="center" wrapText="1"/>
    </xf>
    <xf numFmtId="0" fontId="137" fillId="0" borderId="34" xfId="36" applyFont="1" applyFill="1" applyBorder="1" applyAlignment="1">
      <alignment horizontal="center" vertical="top"/>
    </xf>
    <xf numFmtId="0" fontId="137" fillId="0" borderId="32" xfId="36" applyFont="1" applyFill="1" applyBorder="1" applyAlignment="1">
      <alignment horizontal="center" vertical="top"/>
    </xf>
    <xf numFmtId="0" fontId="137" fillId="0" borderId="33" xfId="36" applyFont="1" applyFill="1" applyBorder="1" applyAlignment="1">
      <alignment horizontal="center" vertical="top"/>
    </xf>
    <xf numFmtId="0" fontId="137" fillId="0" borderId="0" xfId="36" applyFont="1" applyFill="1" applyAlignment="1">
      <alignment vertical="top"/>
    </xf>
    <xf numFmtId="0" fontId="138" fillId="0" borderId="0" xfId="36" applyFont="1" applyFill="1" applyAlignment="1">
      <alignment vertical="top"/>
    </xf>
    <xf numFmtId="171" fontId="139" fillId="28" borderId="56" xfId="1813" applyNumberFormat="1" applyFont="1" applyFill="1" applyBorder="1" applyAlignment="1">
      <alignment horizontal="center" vertical="center"/>
    </xf>
    <xf numFmtId="171" fontId="139" fillId="28" borderId="36" xfId="1813" applyNumberFormat="1" applyFont="1" applyFill="1" applyBorder="1" applyAlignment="1">
      <alignment horizontal="center" vertical="center"/>
    </xf>
    <xf numFmtId="171" fontId="139" fillId="28" borderId="41" xfId="1813" applyNumberFormat="1" applyFont="1" applyFill="1" applyBorder="1" applyAlignment="1">
      <alignment horizontal="center" vertical="center"/>
    </xf>
    <xf numFmtId="0" fontId="139" fillId="0" borderId="0" xfId="36" applyFont="1" applyFill="1" applyAlignment="1">
      <alignment vertical="center"/>
    </xf>
    <xf numFmtId="171" fontId="139" fillId="0" borderId="57" xfId="1813" applyNumberFormat="1" applyFont="1" applyFill="1" applyBorder="1" applyAlignment="1">
      <alignment horizontal="center" vertical="center"/>
    </xf>
    <xf numFmtId="171" fontId="139" fillId="27" borderId="28" xfId="1813" applyNumberFormat="1" applyFont="1" applyFill="1" applyBorder="1" applyAlignment="1">
      <alignment horizontal="center" vertical="center"/>
    </xf>
    <xf numFmtId="171" fontId="139" fillId="27" borderId="10" xfId="1813" applyNumberFormat="1" applyFont="1" applyFill="1" applyBorder="1" applyAlignment="1">
      <alignment horizontal="center" vertical="center"/>
    </xf>
    <xf numFmtId="171" fontId="139" fillId="0" borderId="29" xfId="1813" applyNumberFormat="1" applyFont="1" applyFill="1" applyBorder="1" applyAlignment="1">
      <alignment horizontal="center" vertical="center"/>
    </xf>
    <xf numFmtId="171" fontId="139" fillId="28" borderId="57" xfId="1813" applyNumberFormat="1" applyFont="1" applyFill="1" applyBorder="1" applyAlignment="1">
      <alignment horizontal="center" vertical="center"/>
    </xf>
    <xf numFmtId="171" fontId="139" fillId="28" borderId="10" xfId="1813" applyNumberFormat="1" applyFont="1" applyFill="1" applyBorder="1" applyAlignment="1">
      <alignment horizontal="center" vertical="center"/>
    </xf>
    <xf numFmtId="171" fontId="139" fillId="28" borderId="18" xfId="1813" applyNumberFormat="1" applyFont="1" applyFill="1" applyBorder="1" applyAlignment="1">
      <alignment horizontal="center" vertical="center"/>
    </xf>
    <xf numFmtId="171" fontId="139" fillId="0" borderId="59" xfId="1813" applyNumberFormat="1" applyFont="1" applyFill="1" applyBorder="1" applyAlignment="1">
      <alignment horizontal="center" vertical="center"/>
    </xf>
    <xf numFmtId="171" fontId="139" fillId="27" borderId="58" xfId="1813" applyNumberFormat="1" applyFont="1" applyFill="1" applyBorder="1" applyAlignment="1">
      <alignment horizontal="center" vertical="center"/>
    </xf>
    <xf numFmtId="171" fontId="139" fillId="27" borderId="11" xfId="1813" applyNumberFormat="1" applyFont="1" applyFill="1" applyBorder="1" applyAlignment="1">
      <alignment horizontal="center" vertical="center"/>
    </xf>
    <xf numFmtId="171" fontId="139" fillId="0" borderId="56" xfId="1813" applyNumberFormat="1" applyFont="1" applyFill="1" applyBorder="1" applyAlignment="1">
      <alignment horizontal="center" vertical="center"/>
    </xf>
    <xf numFmtId="171" fontId="139" fillId="27" borderId="25" xfId="1813" applyNumberFormat="1" applyFont="1" applyFill="1" applyBorder="1" applyAlignment="1">
      <alignment horizontal="center" vertical="center"/>
    </xf>
    <xf numFmtId="171" fontId="139" fillId="27" borderId="36" xfId="1813" applyNumberFormat="1" applyFont="1" applyFill="1" applyBorder="1" applyAlignment="1">
      <alignment horizontal="center" vertical="center"/>
    </xf>
    <xf numFmtId="171" fontId="139" fillId="0" borderId="27" xfId="1813" applyNumberFormat="1" applyFont="1" applyFill="1" applyBorder="1" applyAlignment="1">
      <alignment horizontal="center" vertical="center"/>
    </xf>
    <xf numFmtId="171" fontId="139" fillId="0" borderId="60" xfId="1813" applyNumberFormat="1" applyFont="1" applyFill="1" applyBorder="1" applyAlignment="1">
      <alignment horizontal="center" vertical="center"/>
    </xf>
    <xf numFmtId="171" fontId="139" fillId="27" borderId="49" xfId="1813" applyNumberFormat="1" applyFont="1" applyFill="1" applyBorder="1" applyAlignment="1">
      <alignment horizontal="center" vertical="center"/>
    </xf>
    <xf numFmtId="171" fontId="139" fillId="27" borderId="33" xfId="1813" applyNumberFormat="1" applyFont="1" applyFill="1" applyBorder="1" applyAlignment="1">
      <alignment horizontal="center" vertical="center"/>
    </xf>
    <xf numFmtId="171" fontId="139" fillId="0" borderId="61" xfId="1813" applyNumberFormat="1" applyFont="1" applyFill="1" applyBorder="1" applyAlignment="1">
      <alignment horizontal="center" vertical="center"/>
    </xf>
    <xf numFmtId="171" fontId="139" fillId="28" borderId="62" xfId="1813" applyNumberFormat="1" applyFont="1" applyFill="1" applyBorder="1" applyAlignment="1">
      <alignment horizontal="center" vertical="center"/>
    </xf>
    <xf numFmtId="171" fontId="139" fillId="28" borderId="38" xfId="1813" applyNumberFormat="1" applyFont="1" applyFill="1" applyBorder="1" applyAlignment="1">
      <alignment horizontal="center" vertical="center"/>
    </xf>
    <xf numFmtId="171" fontId="139" fillId="28" borderId="13" xfId="1813" applyNumberFormat="1" applyFont="1" applyFill="1" applyBorder="1" applyAlignment="1">
      <alignment horizontal="center" vertical="center"/>
    </xf>
    <xf numFmtId="171" fontId="139" fillId="28" borderId="19" xfId="1813" applyNumberFormat="1" applyFont="1" applyFill="1" applyBorder="1" applyAlignment="1">
      <alignment horizontal="center" vertical="center"/>
    </xf>
    <xf numFmtId="171" fontId="139" fillId="27" borderId="30" xfId="1813" applyNumberFormat="1" applyFont="1" applyFill="1" applyBorder="1" applyAlignment="1">
      <alignment horizontal="center" vertical="center"/>
    </xf>
    <xf numFmtId="171" fontId="139" fillId="0" borderId="31" xfId="1813" applyNumberFormat="1" applyFont="1" applyFill="1" applyBorder="1" applyAlignment="1">
      <alignment horizontal="center" vertical="center"/>
    </xf>
    <xf numFmtId="171" fontId="139" fillId="28" borderId="29" xfId="1813" applyNumberFormat="1" applyFont="1" applyFill="1" applyBorder="1" applyAlignment="1">
      <alignment horizontal="center" vertical="center"/>
    </xf>
    <xf numFmtId="171" fontId="142" fillId="27" borderId="58" xfId="1813" applyNumberFormat="1" applyFont="1" applyFill="1" applyBorder="1" applyAlignment="1">
      <alignment horizontal="center" vertical="center"/>
    </xf>
    <xf numFmtId="171" fontId="142" fillId="27" borderId="11" xfId="1813" applyNumberFormat="1" applyFont="1" applyFill="1" applyBorder="1" applyAlignment="1">
      <alignment horizontal="center" vertical="center"/>
    </xf>
    <xf numFmtId="171" fontId="139" fillId="0" borderId="63" xfId="1813" applyNumberFormat="1" applyFont="1" applyFill="1" applyBorder="1" applyAlignment="1">
      <alignment horizontal="center" vertical="center"/>
    </xf>
    <xf numFmtId="171" fontId="139" fillId="0" borderId="64" xfId="1813" applyNumberFormat="1" applyFont="1" applyFill="1" applyBorder="1" applyAlignment="1">
      <alignment horizontal="center" vertical="center"/>
    </xf>
    <xf numFmtId="171" fontId="139" fillId="0" borderId="53" xfId="1813" applyNumberFormat="1" applyFont="1" applyFill="1" applyBorder="1" applyAlignment="1">
      <alignment horizontal="center" vertical="center"/>
    </xf>
    <xf numFmtId="171" fontId="139" fillId="0" borderId="65" xfId="1813" applyNumberFormat="1" applyFont="1" applyFill="1" applyBorder="1" applyAlignment="1">
      <alignment horizontal="center" vertical="center"/>
    </xf>
    <xf numFmtId="171" fontId="139" fillId="0" borderId="55" xfId="1813" applyNumberFormat="1" applyFont="1" applyFill="1" applyBorder="1" applyAlignment="1">
      <alignment horizontal="center" vertical="center"/>
    </xf>
    <xf numFmtId="171" fontId="139" fillId="0" borderId="62" xfId="1813" applyNumberFormat="1" applyFont="1" applyFill="1" applyBorder="1" applyAlignment="1">
      <alignment horizontal="center" vertical="center"/>
    </xf>
    <xf numFmtId="171" fontId="139" fillId="0" borderId="13" xfId="1813" applyNumberFormat="1" applyFont="1" applyFill="1" applyBorder="1" applyAlignment="1">
      <alignment horizontal="center" vertical="center"/>
    </xf>
    <xf numFmtId="171" fontId="139" fillId="0" borderId="10" xfId="1813" applyNumberFormat="1" applyFont="1" applyFill="1" applyBorder="1" applyAlignment="1">
      <alignment horizontal="center" vertical="center"/>
    </xf>
    <xf numFmtId="171" fontId="139" fillId="0" borderId="33" xfId="1813" applyNumberFormat="1" applyFont="1" applyFill="1" applyBorder="1" applyAlignment="1">
      <alignment horizontal="center" vertical="center"/>
    </xf>
    <xf numFmtId="171" fontId="139" fillId="28" borderId="31" xfId="1813" applyNumberFormat="1" applyFont="1" applyFill="1" applyBorder="1" applyAlignment="1">
      <alignment horizontal="center" vertical="center"/>
    </xf>
    <xf numFmtId="171" fontId="141" fillId="28" borderId="30" xfId="1813" applyNumberFormat="1" applyFont="1" applyFill="1" applyBorder="1" applyAlignment="1">
      <alignment horizontal="center" vertical="center"/>
    </xf>
    <xf numFmtId="171" fontId="139" fillId="28" borderId="30" xfId="1813" applyNumberFormat="1" applyFont="1" applyFill="1" applyBorder="1" applyAlignment="1">
      <alignment horizontal="center" vertical="center"/>
    </xf>
    <xf numFmtId="171" fontId="139" fillId="0" borderId="30" xfId="1813" applyNumberFormat="1" applyFont="1" applyFill="1" applyBorder="1" applyAlignment="1">
      <alignment horizontal="center" vertical="center"/>
    </xf>
    <xf numFmtId="171" fontId="141" fillId="0" borderId="28" xfId="1813" applyNumberFormat="1" applyFont="1" applyFill="1" applyBorder="1" applyAlignment="1">
      <alignment horizontal="center" vertical="center"/>
    </xf>
    <xf numFmtId="171" fontId="141" fillId="0" borderId="10" xfId="1813" applyNumberFormat="1" applyFont="1" applyFill="1" applyBorder="1" applyAlignment="1">
      <alignment horizontal="center" vertical="center"/>
    </xf>
    <xf numFmtId="171" fontId="141" fillId="0" borderId="18" xfId="1813" applyNumberFormat="1" applyFont="1" applyFill="1" applyBorder="1" applyAlignment="1">
      <alignment horizontal="center" vertical="center"/>
    </xf>
    <xf numFmtId="171" fontId="141" fillId="0" borderId="22" xfId="1813" applyNumberFormat="1" applyFont="1" applyFill="1" applyBorder="1" applyAlignment="1">
      <alignment horizontal="center" vertical="center"/>
    </xf>
    <xf numFmtId="171" fontId="139" fillId="0" borderId="12" xfId="1813" applyNumberFormat="1" applyFont="1" applyFill="1" applyBorder="1" applyAlignment="1">
      <alignment horizontal="center" vertical="center"/>
    </xf>
    <xf numFmtId="171" fontId="139" fillId="29" borderId="10" xfId="1813" applyNumberFormat="1" applyFont="1" applyFill="1" applyBorder="1" applyAlignment="1">
      <alignment horizontal="center" vertical="center"/>
    </xf>
    <xf numFmtId="171" fontId="140" fillId="0" borderId="10" xfId="1813" applyNumberFormat="1" applyFont="1" applyFill="1" applyBorder="1" applyAlignment="1">
      <alignment horizontal="center" vertical="center"/>
    </xf>
    <xf numFmtId="171" fontId="142" fillId="0" borderId="28" xfId="1813" applyNumberFormat="1" applyFont="1" applyFill="1" applyBorder="1" applyAlignment="1">
      <alignment horizontal="center" vertical="center"/>
    </xf>
    <xf numFmtId="171" fontId="142" fillId="0" borderId="10" xfId="1813" applyNumberFormat="1" applyFont="1" applyFill="1" applyBorder="1" applyAlignment="1">
      <alignment horizontal="center" vertical="center"/>
    </xf>
    <xf numFmtId="171" fontId="139" fillId="0" borderId="34" xfId="1813" applyNumberFormat="1" applyFont="1" applyFill="1" applyBorder="1" applyAlignment="1">
      <alignment horizontal="center" vertical="center"/>
    </xf>
    <xf numFmtId="171" fontId="139" fillId="0" borderId="39" xfId="1813" applyNumberFormat="1" applyFont="1" applyFill="1" applyBorder="1" applyAlignment="1">
      <alignment horizontal="center" vertical="center"/>
    </xf>
    <xf numFmtId="171" fontId="139" fillId="0" borderId="66" xfId="1813" applyNumberFormat="1" applyFont="1" applyFill="1" applyBorder="1" applyAlignment="1">
      <alignment horizontal="center" vertical="center"/>
    </xf>
    <xf numFmtId="172" fontId="139" fillId="0" borderId="0" xfId="36" applyNumberFormat="1" applyFont="1" applyFill="1" applyAlignment="1">
      <alignment vertical="center"/>
    </xf>
    <xf numFmtId="171" fontId="139" fillId="0" borderId="0" xfId="36" applyNumberFormat="1" applyFont="1" applyFill="1" applyAlignment="1">
      <alignment vertical="center"/>
    </xf>
    <xf numFmtId="10" fontId="139" fillId="0" borderId="0" xfId="1815" applyNumberFormat="1" applyFont="1" applyFill="1" applyAlignment="1">
      <alignment vertical="center"/>
    </xf>
    <xf numFmtId="10" fontId="139" fillId="0" borderId="28" xfId="1815" applyNumberFormat="1" applyFont="1" applyFill="1" applyBorder="1" applyAlignment="1">
      <alignment horizontal="center" vertical="center"/>
    </xf>
    <xf numFmtId="10" fontId="139" fillId="0" borderId="10" xfId="1815" applyNumberFormat="1" applyFont="1" applyFill="1" applyBorder="1" applyAlignment="1">
      <alignment horizontal="center" vertical="center"/>
    </xf>
    <xf numFmtId="10" fontId="139" fillId="0" borderId="18" xfId="1815" applyNumberFormat="1" applyFont="1" applyFill="1" applyBorder="1" applyAlignment="1">
      <alignment horizontal="center" vertical="center"/>
    </xf>
    <xf numFmtId="171" fontId="139" fillId="0" borderId="32" xfId="1813" applyNumberFormat="1" applyFont="1" applyFill="1" applyBorder="1" applyAlignment="1">
      <alignment horizontal="center" vertical="center"/>
    </xf>
    <xf numFmtId="173" fontId="139" fillId="29" borderId="30" xfId="1813" applyNumberFormat="1" applyFont="1" applyFill="1" applyBorder="1" applyAlignment="1">
      <alignment horizontal="center" vertical="center"/>
    </xf>
    <xf numFmtId="165" fontId="139" fillId="0" borderId="28" xfId="1813" applyNumberFormat="1" applyFont="1" applyFill="1" applyBorder="1" applyAlignment="1">
      <alignment horizontal="center" vertical="center"/>
    </xf>
    <xf numFmtId="173" fontId="139" fillId="0" borderId="10" xfId="1813" applyNumberFormat="1" applyFont="1" applyFill="1" applyBorder="1" applyAlignment="1">
      <alignment horizontal="center" vertical="center"/>
    </xf>
    <xf numFmtId="173" fontId="139" fillId="0" borderId="18" xfId="1813" applyNumberFormat="1" applyFont="1" applyFill="1" applyBorder="1" applyAlignment="1">
      <alignment horizontal="center" vertical="center"/>
    </xf>
    <xf numFmtId="174" fontId="139" fillId="0" borderId="67" xfId="1813" applyNumberFormat="1" applyFont="1" applyFill="1" applyBorder="1" applyAlignment="1">
      <alignment horizontal="center" vertical="center"/>
    </xf>
    <xf numFmtId="174" fontId="139" fillId="0" borderId="68" xfId="1813" applyNumberFormat="1" applyFont="1" applyFill="1" applyBorder="1" applyAlignment="1">
      <alignment horizontal="center" vertical="center"/>
    </xf>
    <xf numFmtId="174" fontId="139" fillId="0" borderId="11" xfId="1813" applyNumberFormat="1" applyFont="1" applyFill="1" applyBorder="1" applyAlignment="1">
      <alignment horizontal="center" vertical="center"/>
    </xf>
    <xf numFmtId="171" fontId="139" fillId="0" borderId="35" xfId="1813" applyNumberFormat="1" applyFont="1" applyFill="1" applyBorder="1" applyAlignment="1">
      <alignment horizontal="center" vertical="center" wrapText="1"/>
    </xf>
    <xf numFmtId="171" fontId="139" fillId="0" borderId="36" xfId="1813" applyNumberFormat="1" applyFont="1" applyFill="1" applyBorder="1" applyAlignment="1">
      <alignment horizontal="center" vertical="center" wrapText="1"/>
    </xf>
    <xf numFmtId="171" fontId="139" fillId="0" borderId="30" xfId="1813" applyNumberFormat="1" applyFont="1" applyFill="1" applyBorder="1" applyAlignment="1">
      <alignment horizontal="center" vertical="center" wrapText="1"/>
    </xf>
    <xf numFmtId="171" fontId="139" fillId="0" borderId="10" xfId="1813" applyNumberFormat="1" applyFont="1" applyFill="1" applyBorder="1" applyAlignment="1">
      <alignment horizontal="center" vertical="center" wrapText="1"/>
    </xf>
    <xf numFmtId="171" fontId="139" fillId="0" borderId="12" xfId="1813" applyNumberFormat="1" applyFont="1" applyFill="1" applyBorder="1" applyAlignment="1">
      <alignment horizontal="center" vertical="center" wrapText="1"/>
    </xf>
    <xf numFmtId="171" fontId="139" fillId="0" borderId="31" xfId="1813" applyNumberFormat="1" applyFont="1" applyFill="1" applyBorder="1" applyAlignment="1">
      <alignment horizontal="center" vertical="center" wrapText="1"/>
    </xf>
    <xf numFmtId="171" fontId="143" fillId="0" borderId="34" xfId="1813" applyNumberFormat="1" applyFont="1" applyFill="1" applyBorder="1" applyAlignment="1">
      <alignment horizontal="center" vertical="top"/>
    </xf>
    <xf numFmtId="171" fontId="143" fillId="0" borderId="32" xfId="1813" applyNumberFormat="1" applyFont="1" applyFill="1" applyBorder="1" applyAlignment="1">
      <alignment horizontal="center" vertical="top"/>
    </xf>
    <xf numFmtId="171" fontId="143" fillId="0" borderId="33" xfId="1813" applyNumberFormat="1" applyFont="1" applyFill="1" applyBorder="1" applyAlignment="1">
      <alignment horizontal="center" vertical="top"/>
    </xf>
    <xf numFmtId="171" fontId="141" fillId="24" borderId="31" xfId="1813" applyNumberFormat="1" applyFont="1" applyFill="1" applyBorder="1" applyAlignment="1">
      <alignment horizontal="center" vertical="center"/>
    </xf>
    <xf numFmtId="171" fontId="141" fillId="24" borderId="30" xfId="1813" applyNumberFormat="1" applyFont="1" applyFill="1" applyBorder="1" applyAlignment="1">
      <alignment horizontal="center" vertical="center"/>
    </xf>
    <xf numFmtId="171" fontId="141" fillId="24" borderId="28" xfId="1813" applyNumberFormat="1" applyFont="1" applyFill="1" applyBorder="1" applyAlignment="1">
      <alignment horizontal="center" vertical="center"/>
    </xf>
    <xf numFmtId="171" fontId="141" fillId="24" borderId="36" xfId="1813" applyNumberFormat="1" applyFont="1" applyFill="1" applyBorder="1" applyAlignment="1">
      <alignment horizontal="center" vertical="center"/>
    </xf>
    <xf numFmtId="171" fontId="141" fillId="24" borderId="29" xfId="1813" applyNumberFormat="1" applyFont="1" applyFill="1" applyBorder="1" applyAlignment="1">
      <alignment horizontal="center" vertical="center"/>
    </xf>
    <xf numFmtId="3" fontId="139" fillId="0" borderId="31" xfId="36" applyNumberFormat="1" applyFont="1" applyFill="1" applyBorder="1" applyAlignment="1">
      <alignment horizontal="center" vertical="center"/>
    </xf>
    <xf numFmtId="3" fontId="139" fillId="0" borderId="10" xfId="36" applyNumberFormat="1" applyFont="1" applyFill="1" applyBorder="1" applyAlignment="1">
      <alignment horizontal="center" vertical="center"/>
    </xf>
    <xf numFmtId="3" fontId="139" fillId="0" borderId="12" xfId="36" applyNumberFormat="1" applyFont="1" applyFill="1" applyBorder="1" applyAlignment="1">
      <alignment horizontal="center" vertical="center"/>
    </xf>
    <xf numFmtId="3" fontId="139" fillId="0" borderId="30" xfId="36" applyNumberFormat="1" applyFont="1" applyFill="1" applyBorder="1" applyAlignment="1">
      <alignment horizontal="center" vertical="center"/>
    </xf>
    <xf numFmtId="3" fontId="141" fillId="0" borderId="31" xfId="36" applyNumberFormat="1" applyFont="1" applyFill="1" applyBorder="1" applyAlignment="1">
      <alignment horizontal="center" vertical="center"/>
    </xf>
    <xf numFmtId="171" fontId="141" fillId="0" borderId="12" xfId="1813" applyNumberFormat="1" applyFont="1" applyFill="1" applyBorder="1" applyAlignment="1">
      <alignment horizontal="center" vertical="center"/>
    </xf>
    <xf numFmtId="171" fontId="141" fillId="0" borderId="30" xfId="1813" applyNumberFormat="1" applyFont="1" applyFill="1" applyBorder="1" applyAlignment="1">
      <alignment horizontal="center" vertical="center"/>
    </xf>
    <xf numFmtId="171" fontId="141" fillId="0" borderId="31" xfId="1813" applyNumberFormat="1" applyFont="1" applyFill="1" applyBorder="1" applyAlignment="1">
      <alignment horizontal="center" vertical="center"/>
    </xf>
    <xf numFmtId="3" fontId="141" fillId="0" borderId="28" xfId="36" applyNumberFormat="1" applyFont="1" applyFill="1" applyBorder="1" applyAlignment="1">
      <alignment horizontal="center" vertical="center"/>
    </xf>
    <xf numFmtId="3" fontId="141" fillId="0" borderId="10" xfId="36" applyNumberFormat="1" applyFont="1" applyFill="1" applyBorder="1" applyAlignment="1">
      <alignment horizontal="center" vertical="center"/>
    </xf>
    <xf numFmtId="3" fontId="141" fillId="0" borderId="12" xfId="36" applyNumberFormat="1" applyFont="1" applyFill="1" applyBorder="1" applyAlignment="1">
      <alignment horizontal="center" vertical="center"/>
    </xf>
    <xf numFmtId="3" fontId="141" fillId="0" borderId="30" xfId="36" applyNumberFormat="1" applyFont="1" applyFill="1" applyBorder="1" applyAlignment="1">
      <alignment horizontal="center" vertical="center"/>
    </xf>
    <xf numFmtId="170" fontId="141" fillId="0" borderId="28" xfId="36" applyNumberFormat="1" applyFont="1" applyFill="1" applyBorder="1" applyAlignment="1">
      <alignment horizontal="center" vertical="center"/>
    </xf>
    <xf numFmtId="170" fontId="141" fillId="0" borderId="10" xfId="36" applyNumberFormat="1" applyFont="1" applyFill="1" applyBorder="1" applyAlignment="1">
      <alignment horizontal="center" vertical="center"/>
    </xf>
    <xf numFmtId="170" fontId="141" fillId="0" borderId="12" xfId="36" applyNumberFormat="1" applyFont="1" applyFill="1" applyBorder="1" applyAlignment="1">
      <alignment horizontal="center" vertical="center"/>
    </xf>
    <xf numFmtId="170" fontId="141" fillId="0" borderId="30" xfId="36" applyNumberFormat="1" applyFont="1" applyFill="1" applyBorder="1" applyAlignment="1">
      <alignment horizontal="center" vertical="center"/>
    </xf>
    <xf numFmtId="170" fontId="141" fillId="0" borderId="29" xfId="36" applyNumberFormat="1" applyFont="1" applyFill="1" applyBorder="1" applyAlignment="1">
      <alignment horizontal="center" vertical="center"/>
    </xf>
    <xf numFmtId="165" fontId="141" fillId="0" borderId="28" xfId="1813" applyFont="1" applyFill="1" applyBorder="1" applyAlignment="1">
      <alignment horizontal="center" vertical="center"/>
    </xf>
    <xf numFmtId="165" fontId="141" fillId="0" borderId="10" xfId="1813" applyFont="1" applyFill="1" applyBorder="1" applyAlignment="1">
      <alignment horizontal="center" vertical="center"/>
    </xf>
    <xf numFmtId="165" fontId="141" fillId="0" borderId="12" xfId="1813" applyFont="1" applyFill="1" applyBorder="1" applyAlignment="1">
      <alignment horizontal="center" vertical="center"/>
    </xf>
    <xf numFmtId="165" fontId="141" fillId="0" borderId="30" xfId="1813" applyFont="1" applyFill="1" applyBorder="1" applyAlignment="1">
      <alignment horizontal="center" vertical="center"/>
    </xf>
    <xf numFmtId="165" fontId="141" fillId="0" borderId="29" xfId="1813" applyFont="1" applyFill="1" applyBorder="1" applyAlignment="1">
      <alignment horizontal="center" vertical="center"/>
    </xf>
    <xf numFmtId="3" fontId="139" fillId="0" borderId="29" xfId="36" applyNumberFormat="1" applyFont="1" applyFill="1" applyBorder="1" applyAlignment="1">
      <alignment horizontal="center" vertical="center"/>
    </xf>
    <xf numFmtId="4" fontId="141" fillId="0" borderId="12" xfId="36" applyNumberFormat="1" applyFont="1" applyFill="1" applyBorder="1" applyAlignment="1">
      <alignment horizontal="center" vertical="center"/>
    </xf>
    <xf numFmtId="4" fontId="141" fillId="0" borderId="30" xfId="36" applyNumberFormat="1" applyFont="1" applyFill="1" applyBorder="1" applyAlignment="1">
      <alignment horizontal="center" vertical="center"/>
    </xf>
    <xf numFmtId="4" fontId="141" fillId="0" borderId="10" xfId="36" applyNumberFormat="1" applyFont="1" applyFill="1" applyBorder="1" applyAlignment="1">
      <alignment horizontal="center" vertical="center"/>
    </xf>
    <xf numFmtId="4" fontId="141" fillId="0" borderId="31" xfId="36" applyNumberFormat="1" applyFont="1" applyFill="1" applyBorder="1" applyAlignment="1">
      <alignment horizontal="center" vertical="center"/>
    </xf>
    <xf numFmtId="3" fontId="139" fillId="0" borderId="34" xfId="36" applyNumberFormat="1" applyFont="1" applyFill="1" applyBorder="1" applyAlignment="1">
      <alignment horizontal="center" vertical="center"/>
    </xf>
    <xf numFmtId="3" fontId="139" fillId="0" borderId="32" xfId="36" applyNumberFormat="1" applyFont="1" applyFill="1" applyBorder="1" applyAlignment="1">
      <alignment horizontal="center" vertical="center"/>
    </xf>
    <xf numFmtId="3" fontId="139" fillId="0" borderId="33" xfId="36" applyNumberFormat="1" applyFont="1" applyFill="1" applyBorder="1" applyAlignment="1">
      <alignment horizontal="center" vertical="center"/>
    </xf>
    <xf numFmtId="3" fontId="139" fillId="0" borderId="51" xfId="36" applyNumberFormat="1" applyFont="1" applyFill="1" applyBorder="1" applyAlignment="1">
      <alignment horizontal="center" vertical="center"/>
    </xf>
    <xf numFmtId="3" fontId="139" fillId="0" borderId="39" xfId="36" applyNumberFormat="1" applyFont="1" applyFill="1" applyBorder="1" applyAlignment="1">
      <alignment horizontal="center" vertical="center"/>
    </xf>
    <xf numFmtId="165" fontId="139" fillId="0" borderId="40" xfId="1813" applyFont="1" applyFill="1" applyBorder="1" applyAlignment="1">
      <alignment horizontal="center" vertical="center"/>
    </xf>
    <xf numFmtId="170" fontId="139" fillId="0" borderId="30" xfId="36" applyNumberFormat="1" applyFont="1" applyFill="1" applyBorder="1" applyAlignment="1">
      <alignment horizontal="center" vertical="center"/>
    </xf>
    <xf numFmtId="170" fontId="139" fillId="0" borderId="10" xfId="36" applyNumberFormat="1" applyFont="1" applyFill="1" applyBorder="1" applyAlignment="1">
      <alignment horizontal="center" vertical="center"/>
    </xf>
    <xf numFmtId="4" fontId="139" fillId="0" borderId="10" xfId="36" applyNumberFormat="1" applyFont="1" applyFill="1" applyBorder="1" applyAlignment="1">
      <alignment horizontal="center" vertical="center"/>
    </xf>
    <xf numFmtId="3" fontId="139" fillId="0" borderId="34" xfId="36" applyNumberFormat="1" applyFont="1" applyFill="1" applyBorder="1" applyAlignment="1">
      <alignment horizontal="center" vertical="center" wrapText="1"/>
    </xf>
    <xf numFmtId="0" fontId="144" fillId="0" borderId="26" xfId="36" applyFont="1" applyFill="1" applyBorder="1" applyAlignment="1">
      <alignment horizontal="left"/>
    </xf>
    <xf numFmtId="0" fontId="144" fillId="0" borderId="0" xfId="36" applyFont="1" applyFill="1" applyAlignment="1">
      <alignment horizontal="left"/>
    </xf>
    <xf numFmtId="0" fontId="145" fillId="0" borderId="0" xfId="36" applyFont="1" applyFill="1" applyAlignment="1">
      <alignment horizontal="left"/>
    </xf>
    <xf numFmtId="0" fontId="146" fillId="0" borderId="0" xfId="36" applyFont="1" applyFill="1"/>
    <xf numFmtId="0" fontId="147" fillId="0" borderId="0" xfId="36" applyFont="1" applyFill="1" applyAlignment="1">
      <alignment vertical="top"/>
    </xf>
    <xf numFmtId="0" fontId="146" fillId="0" borderId="0" xfId="36" applyFont="1" applyFill="1" applyAlignment="1">
      <alignment vertical="top"/>
    </xf>
    <xf numFmtId="0" fontId="148" fillId="0" borderId="0" xfId="36" applyFont="1" applyFill="1" applyAlignment="1">
      <alignment vertical="top"/>
    </xf>
    <xf numFmtId="0" fontId="149" fillId="0" borderId="0" xfId="36" applyFont="1" applyFill="1" applyAlignment="1">
      <alignment vertical="center"/>
    </xf>
    <xf numFmtId="0" fontId="150" fillId="0" borderId="0" xfId="36" applyFont="1" applyFill="1" applyAlignment="1">
      <alignment vertical="center"/>
    </xf>
    <xf numFmtId="165" fontId="139" fillId="0" borderId="38" xfId="1813" applyFont="1" applyFill="1" applyBorder="1" applyAlignment="1">
      <alignment horizontal="center" vertical="center"/>
    </xf>
    <xf numFmtId="170" fontId="139" fillId="0" borderId="12" xfId="36" applyNumberFormat="1" applyFont="1" applyFill="1" applyBorder="1" applyAlignment="1">
      <alignment horizontal="center" vertical="center"/>
    </xf>
    <xf numFmtId="4" fontId="139" fillId="0" borderId="30" xfId="36" applyNumberFormat="1" applyFont="1" applyFill="1" applyBorder="1" applyAlignment="1">
      <alignment horizontal="center" vertical="center"/>
    </xf>
    <xf numFmtId="165" fontId="139" fillId="0" borderId="66" xfId="1813" applyFont="1" applyFill="1" applyBorder="1" applyAlignment="1">
      <alignment horizontal="center" vertical="center"/>
    </xf>
    <xf numFmtId="165" fontId="139" fillId="0" borderId="36" xfId="1813" applyFont="1" applyFill="1" applyBorder="1" applyAlignment="1">
      <alignment horizontal="center" vertical="center"/>
    </xf>
    <xf numFmtId="1" fontId="73" fillId="25" borderId="10" xfId="0" applyNumberFormat="1" applyFont="1" applyFill="1" applyBorder="1" applyAlignment="1">
      <alignment horizontal="center" vertical="center"/>
    </xf>
    <xf numFmtId="0" fontId="72" fillId="0" borderId="10" xfId="55"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textRotation="90" wrapText="1"/>
    </xf>
    <xf numFmtId="0" fontId="73" fillId="0" borderId="10" xfId="0" applyFont="1" applyFill="1" applyBorder="1" applyAlignment="1">
      <alignment horizontal="center" vertical="center"/>
    </xf>
    <xf numFmtId="0" fontId="83" fillId="0" borderId="10" xfId="45" applyFont="1" applyFill="1" applyBorder="1" applyAlignment="1">
      <alignment horizontal="center" vertical="center"/>
    </xf>
    <xf numFmtId="0" fontId="73" fillId="0" borderId="0" xfId="0" applyFont="1" applyFill="1" applyAlignment="1">
      <alignment horizontal="center" vertical="center"/>
    </xf>
    <xf numFmtId="0" fontId="73" fillId="29" borderId="0" xfId="0" applyFont="1" applyFill="1" applyAlignment="1">
      <alignment vertical="center"/>
    </xf>
    <xf numFmtId="49" fontId="72" fillId="30" borderId="10" xfId="55" applyNumberFormat="1" applyFont="1" applyFill="1" applyBorder="1" applyAlignment="1">
      <alignment horizontal="center" vertical="center"/>
    </xf>
    <xf numFmtId="49" fontId="87" fillId="0" borderId="12" xfId="55" applyNumberFormat="1" applyFont="1" applyFill="1" applyBorder="1" applyAlignment="1">
      <alignment horizontal="center" vertical="center" wrapText="1"/>
    </xf>
    <xf numFmtId="49" fontId="87" fillId="0" borderId="10" xfId="55" applyNumberFormat="1" applyFont="1" applyBorder="1" applyAlignment="1">
      <alignment horizontal="center" vertical="center"/>
    </xf>
    <xf numFmtId="2" fontId="95" fillId="0" borderId="10" xfId="0" applyNumberFormat="1" applyFont="1" applyBorder="1" applyAlignment="1">
      <alignment horizontal="center" vertical="center"/>
    </xf>
    <xf numFmtId="168" fontId="87" fillId="0" borderId="10" xfId="55" applyNumberFormat="1" applyFont="1" applyBorder="1" applyAlignment="1">
      <alignment horizontal="center" vertical="center"/>
    </xf>
    <xf numFmtId="0" fontId="87" fillId="31" borderId="10" xfId="55" applyFont="1" applyFill="1" applyBorder="1" applyAlignment="1">
      <alignment horizontal="center" vertical="center"/>
    </xf>
    <xf numFmtId="0" fontId="96" fillId="0" borderId="10" xfId="55" applyFont="1" applyFill="1" applyBorder="1" applyAlignment="1">
      <alignment horizontal="center" vertical="center"/>
    </xf>
    <xf numFmtId="0" fontId="87" fillId="0" borderId="10" xfId="55" applyFont="1" applyFill="1" applyBorder="1" applyAlignment="1">
      <alignment horizontal="center"/>
    </xf>
    <xf numFmtId="0" fontId="73" fillId="27" borderId="10" xfId="0" applyFont="1" applyFill="1" applyBorder="1" applyAlignment="1">
      <alignment horizontal="center" vertical="center" wrapText="1"/>
    </xf>
    <xf numFmtId="49" fontId="72" fillId="31" borderId="10" xfId="55" applyNumberFormat="1" applyFont="1" applyFill="1" applyBorder="1" applyAlignment="1">
      <alignment horizontal="center" vertical="center"/>
    </xf>
    <xf numFmtId="168" fontId="91" fillId="0" borderId="10" xfId="0" applyNumberFormat="1" applyFont="1" applyFill="1" applyBorder="1" applyAlignment="1">
      <alignment horizontal="center" vertical="center"/>
    </xf>
    <xf numFmtId="0" fontId="72" fillId="27" borderId="12" xfId="55" applyFont="1" applyFill="1" applyBorder="1" applyAlignment="1">
      <alignment horizontal="center" vertical="center" wrapText="1"/>
    </xf>
    <xf numFmtId="2" fontId="107" fillId="0" borderId="10" xfId="0" applyNumberFormat="1" applyFont="1" applyFill="1" applyBorder="1" applyAlignment="1">
      <alignment horizontal="center" vertical="center"/>
    </xf>
    <xf numFmtId="1" fontId="90" fillId="28" borderId="12" xfId="0" applyNumberFormat="1" applyFont="1" applyFill="1" applyBorder="1" applyAlignment="1">
      <alignment horizontal="center" vertical="center"/>
    </xf>
    <xf numFmtId="1" fontId="91" fillId="0" borderId="12" xfId="0" applyNumberFormat="1" applyFont="1" applyFill="1" applyBorder="1" applyAlignment="1">
      <alignment horizontal="center" vertical="center"/>
    </xf>
    <xf numFmtId="0" fontId="72" fillId="0" borderId="10" xfId="55" applyFont="1" applyFill="1" applyBorder="1" applyAlignment="1">
      <alignment horizontal="center" vertical="center"/>
    </xf>
    <xf numFmtId="0" fontId="109" fillId="0" borderId="10" xfId="0" applyFont="1" applyFill="1" applyBorder="1" applyAlignment="1">
      <alignment horizontal="center" vertical="center"/>
    </xf>
    <xf numFmtId="49" fontId="124" fillId="0" borderId="10" xfId="55" applyNumberFormat="1" applyFont="1" applyFill="1" applyBorder="1" applyAlignment="1">
      <alignment horizontal="center" vertical="center"/>
    </xf>
    <xf numFmtId="0" fontId="124" fillId="0" borderId="10" xfId="55" applyFont="1" applyFill="1" applyBorder="1" applyAlignment="1">
      <alignment horizontal="center" vertical="center" wrapText="1"/>
    </xf>
    <xf numFmtId="168" fontId="108" fillId="0" borderId="10" xfId="55" applyNumberFormat="1" applyFont="1" applyFill="1" applyBorder="1" applyAlignment="1">
      <alignment horizontal="center" vertical="center"/>
    </xf>
    <xf numFmtId="0" fontId="108" fillId="0" borderId="10" xfId="55" applyFont="1" applyFill="1" applyBorder="1" applyAlignment="1">
      <alignment horizontal="center" vertical="center"/>
    </xf>
    <xf numFmtId="0" fontId="90" fillId="0" borderId="10" xfId="0" applyFont="1" applyFill="1" applyBorder="1" applyAlignment="1">
      <alignment horizontal="center" vertical="center"/>
    </xf>
    <xf numFmtId="0" fontId="108" fillId="0" borderId="10" xfId="55" applyFont="1" applyFill="1" applyBorder="1" applyAlignment="1">
      <alignment horizontal="center" vertical="center" wrapText="1"/>
    </xf>
    <xf numFmtId="49" fontId="91" fillId="0" borderId="10" xfId="55" applyNumberFormat="1" applyFont="1" applyFill="1" applyBorder="1" applyAlignment="1">
      <alignment horizontal="center" vertical="center"/>
    </xf>
    <xf numFmtId="0" fontId="72" fillId="31" borderId="10" xfId="55" applyFont="1" applyFill="1" applyBorder="1" applyAlignment="1">
      <alignment horizontal="center" vertical="center" wrapText="1"/>
    </xf>
    <xf numFmtId="0" fontId="72" fillId="31" borderId="10" xfId="55" applyFont="1" applyFill="1" applyBorder="1" applyAlignment="1">
      <alignment horizontal="center" vertical="center"/>
    </xf>
    <xf numFmtId="0" fontId="108" fillId="31" borderId="10" xfId="55" applyFont="1" applyFill="1" applyBorder="1" applyAlignment="1">
      <alignment horizontal="center" vertical="center"/>
    </xf>
    <xf numFmtId="0" fontId="117" fillId="0" borderId="12" xfId="55" applyFont="1" applyFill="1" applyBorder="1" applyAlignment="1">
      <alignment horizontal="center" vertical="center" wrapText="1"/>
    </xf>
    <xf numFmtId="0" fontId="95" fillId="0" borderId="10" xfId="0" applyFont="1" applyFill="1" applyBorder="1" applyAlignment="1">
      <alignment horizontal="left" vertical="center" wrapText="1"/>
    </xf>
    <xf numFmtId="0" fontId="115" fillId="0" borderId="10" xfId="0" applyFont="1" applyFill="1" applyBorder="1" applyAlignment="1">
      <alignment horizontal="center" vertical="center"/>
    </xf>
    <xf numFmtId="17" fontId="115" fillId="0" borderId="10" xfId="37" applyNumberFormat="1" applyFont="1" applyFill="1" applyBorder="1" applyAlignment="1">
      <alignment horizontal="center" vertical="center"/>
    </xf>
    <xf numFmtId="0" fontId="91" fillId="0" borderId="10" xfId="0" applyFont="1" applyFill="1" applyBorder="1" applyAlignment="1">
      <alignment horizontal="left" vertical="center" wrapText="1"/>
    </xf>
    <xf numFmtId="49" fontId="78" fillId="0" borderId="11" xfId="55" applyNumberFormat="1" applyFont="1" applyFill="1" applyBorder="1" applyAlignment="1">
      <alignment horizontal="center" vertical="center"/>
    </xf>
    <xf numFmtId="0" fontId="78" fillId="0" borderId="16" xfId="55" applyFont="1" applyFill="1" applyBorder="1" applyAlignment="1">
      <alignment horizontal="center" vertical="center" wrapText="1"/>
    </xf>
    <xf numFmtId="0" fontId="107" fillId="0" borderId="11" xfId="0" applyFont="1" applyFill="1" applyBorder="1" applyAlignment="1">
      <alignment horizontal="center" vertical="center"/>
    </xf>
    <xf numFmtId="2" fontId="107" fillId="0" borderId="11" xfId="0" applyNumberFormat="1" applyFont="1" applyFill="1" applyBorder="1" applyAlignment="1">
      <alignment horizontal="center" vertical="center"/>
    </xf>
    <xf numFmtId="0" fontId="78" fillId="0" borderId="14" xfId="55" applyFont="1" applyFill="1" applyBorder="1" applyAlignment="1">
      <alignment horizontal="center" vertical="center" wrapText="1"/>
    </xf>
    <xf numFmtId="0" fontId="107" fillId="0" borderId="13" xfId="0" applyFont="1" applyFill="1" applyBorder="1" applyAlignment="1">
      <alignment horizontal="center" vertical="center"/>
    </xf>
    <xf numFmtId="2" fontId="107" fillId="0" borderId="13" xfId="0" applyNumberFormat="1" applyFont="1" applyFill="1" applyBorder="1" applyAlignment="1">
      <alignment horizontal="center" vertical="center"/>
    </xf>
    <xf numFmtId="0" fontId="107" fillId="27" borderId="10" xfId="0" applyFont="1" applyFill="1" applyBorder="1" applyAlignment="1">
      <alignment horizontal="center" vertical="center"/>
    </xf>
    <xf numFmtId="2" fontId="107" fillId="27" borderId="10" xfId="0" applyNumberFormat="1" applyFont="1" applyFill="1" applyBorder="1" applyAlignment="1">
      <alignment horizontal="center" vertical="center"/>
    </xf>
    <xf numFmtId="17" fontId="107" fillId="27" borderId="10" xfId="37" applyNumberFormat="1" applyFont="1" applyFill="1" applyBorder="1" applyAlignment="1">
      <alignment horizontal="center" vertical="center"/>
    </xf>
    <xf numFmtId="1" fontId="107" fillId="0" borderId="10" xfId="0" applyNumberFormat="1" applyFont="1" applyFill="1" applyBorder="1" applyAlignment="1">
      <alignment horizontal="center" vertical="center"/>
    </xf>
    <xf numFmtId="0" fontId="107" fillId="27" borderId="10" xfId="0" applyFont="1" applyFill="1" applyBorder="1" applyAlignment="1">
      <alignment horizontal="center" vertical="center" wrapText="1"/>
    </xf>
    <xf numFmtId="17" fontId="91" fillId="0" borderId="10" xfId="37" applyNumberFormat="1" applyFont="1" applyFill="1" applyBorder="1" applyAlignment="1">
      <alignment horizontal="center" vertical="center"/>
    </xf>
    <xf numFmtId="0" fontId="72" fillId="25" borderId="0" xfId="37" applyFont="1" applyFill="1" applyAlignment="1">
      <alignment vertical="center"/>
    </xf>
    <xf numFmtId="2" fontId="87" fillId="0" borderId="10" xfId="55" applyNumberFormat="1" applyFont="1" applyFill="1" applyBorder="1" applyAlignment="1">
      <alignment horizontal="center" vertical="center"/>
    </xf>
    <xf numFmtId="49" fontId="73" fillId="30" borderId="10" xfId="0" applyNumberFormat="1" applyFont="1" applyFill="1" applyBorder="1" applyAlignment="1">
      <alignment horizontal="center" vertical="center" wrapText="1"/>
    </xf>
    <xf numFmtId="49" fontId="96" fillId="28" borderId="10" xfId="55" applyNumberFormat="1" applyFont="1" applyFill="1" applyBorder="1" applyAlignment="1">
      <alignment horizontal="center"/>
    </xf>
    <xf numFmtId="0" fontId="96" fillId="28" borderId="12" xfId="55" applyFont="1" applyFill="1" applyBorder="1" applyAlignment="1">
      <alignment horizontal="center" wrapText="1"/>
    </xf>
    <xf numFmtId="0" fontId="87" fillId="32" borderId="0" xfId="55" applyFont="1" applyFill="1"/>
    <xf numFmtId="0" fontId="124" fillId="0" borderId="12" xfId="55" applyFont="1" applyFill="1" applyBorder="1" applyAlignment="1">
      <alignment horizontal="center" wrapText="1"/>
    </xf>
    <xf numFmtId="0" fontId="107" fillId="0" borderId="17" xfId="37" applyFont="1" applyFill="1" applyBorder="1" applyAlignment="1">
      <alignment horizontal="center" vertical="center" textRotation="90" wrapText="1"/>
    </xf>
    <xf numFmtId="0" fontId="72" fillId="0" borderId="10" xfId="55" applyFont="1" applyFill="1" applyBorder="1" applyAlignment="1">
      <alignment horizontal="center" vertical="center" wrapText="1"/>
    </xf>
    <xf numFmtId="0" fontId="107" fillId="0" borderId="17" xfId="0" applyFont="1" applyFill="1" applyBorder="1" applyAlignment="1">
      <alignment horizontal="center" vertical="center" textRotation="90" wrapText="1"/>
    </xf>
    <xf numFmtId="0" fontId="107" fillId="0" borderId="13" xfId="0" applyFont="1" applyFill="1" applyBorder="1" applyAlignment="1">
      <alignment horizontal="center" vertical="center" textRotation="90" wrapText="1"/>
    </xf>
    <xf numFmtId="0" fontId="107" fillId="0" borderId="10" xfId="0" applyFont="1" applyFill="1" applyBorder="1" applyAlignment="1">
      <alignment horizontal="center" vertical="center" textRotation="90" wrapText="1"/>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textRotation="90" wrapText="1"/>
    </xf>
    <xf numFmtId="0" fontId="83" fillId="0" borderId="10" xfId="45" applyFont="1" applyFill="1" applyBorder="1" applyAlignment="1">
      <alignment horizontal="center" vertical="center"/>
    </xf>
    <xf numFmtId="0" fontId="83" fillId="0" borderId="31" xfId="45" applyFont="1" applyFill="1" applyBorder="1" applyAlignment="1">
      <alignment horizontal="center" vertical="center"/>
    </xf>
    <xf numFmtId="0" fontId="83" fillId="0" borderId="10" xfId="45" applyFont="1" applyFill="1" applyBorder="1" applyAlignment="1">
      <alignment horizontal="center" vertical="center" wrapText="1"/>
    </xf>
    <xf numFmtId="0" fontId="73" fillId="0" borderId="0" xfId="0" applyFont="1" applyFill="1" applyAlignment="1">
      <alignment horizontal="center" vertical="center"/>
    </xf>
    <xf numFmtId="0" fontId="80" fillId="0" borderId="0" xfId="46" applyFont="1" applyFill="1" applyBorder="1" applyAlignment="1">
      <alignment horizontal="center"/>
    </xf>
    <xf numFmtId="0" fontId="96" fillId="24" borderId="10" xfId="55" applyFont="1" applyFill="1" applyBorder="1" applyAlignment="1">
      <alignment horizontal="center"/>
    </xf>
    <xf numFmtId="49" fontId="96" fillId="0" borderId="10" xfId="55" applyNumberFormat="1" applyFont="1" applyFill="1" applyBorder="1" applyAlignment="1">
      <alignment horizontal="center"/>
    </xf>
    <xf numFmtId="0" fontId="93" fillId="0" borderId="12" xfId="0" applyFont="1" applyFill="1" applyBorder="1" applyAlignment="1">
      <alignment horizontal="center" wrapText="1"/>
    </xf>
    <xf numFmtId="0" fontId="96" fillId="28" borderId="10" xfId="55" applyFont="1" applyFill="1" applyBorder="1" applyAlignment="1">
      <alignment horizontal="center"/>
    </xf>
    <xf numFmtId="49" fontId="87" fillId="24" borderId="10" xfId="55" applyNumberFormat="1" applyFont="1" applyFill="1" applyBorder="1" applyAlignment="1">
      <alignment horizontal="center"/>
    </xf>
    <xf numFmtId="0" fontId="87" fillId="24" borderId="12" xfId="55" applyFont="1" applyFill="1" applyBorder="1" applyAlignment="1">
      <alignment horizontal="center" wrapText="1"/>
    </xf>
    <xf numFmtId="0" fontId="87" fillId="24" borderId="10" xfId="55" applyFont="1" applyFill="1" applyBorder="1" applyAlignment="1">
      <alignment horizontal="center"/>
    </xf>
    <xf numFmtId="0" fontId="108" fillId="0" borderId="12" xfId="55" applyFont="1" applyFill="1" applyBorder="1" applyAlignment="1">
      <alignment horizontal="center" wrapText="1"/>
    </xf>
    <xf numFmtId="0" fontId="91" fillId="0" borderId="10" xfId="0" applyFont="1" applyFill="1" applyBorder="1" applyAlignment="1">
      <alignment horizontal="center" wrapText="1"/>
    </xf>
    <xf numFmtId="2" fontId="107" fillId="28" borderId="10" xfId="0" applyNumberFormat="1" applyFont="1" applyFill="1" applyBorder="1" applyAlignment="1">
      <alignment horizontal="center" vertical="center"/>
    </xf>
    <xf numFmtId="0" fontId="107"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0" xfId="0" applyFont="1" applyFill="1" applyAlignment="1">
      <alignment horizontal="center" vertical="center"/>
    </xf>
    <xf numFmtId="49" fontId="95" fillId="0" borderId="10" xfId="55" applyNumberFormat="1" applyFont="1" applyFill="1" applyBorder="1" applyAlignment="1">
      <alignment horizontal="center" vertical="center"/>
    </xf>
    <xf numFmtId="0" fontId="95" fillId="0" borderId="10" xfId="55" applyFont="1" applyFill="1" applyBorder="1" applyAlignment="1">
      <alignment horizontal="center" vertical="center" wrapText="1"/>
    </xf>
    <xf numFmtId="0" fontId="93" fillId="0" borderId="22" xfId="0" applyFont="1" applyFill="1" applyBorder="1" applyAlignment="1">
      <alignment horizontal="center" vertical="center"/>
    </xf>
    <xf numFmtId="0" fontId="83" fillId="0" borderId="18" xfId="45" applyFont="1" applyFill="1" applyBorder="1" applyAlignment="1">
      <alignment horizontal="center" vertical="center" wrapText="1"/>
    </xf>
    <xf numFmtId="0" fontId="73" fillId="0" borderId="18" xfId="0" applyFont="1" applyFill="1" applyBorder="1" applyAlignment="1">
      <alignment horizontal="center" vertical="center" textRotation="90" wrapText="1"/>
    </xf>
    <xf numFmtId="2" fontId="92" fillId="24" borderId="22" xfId="0" applyNumberFormat="1" applyFont="1" applyFill="1" applyBorder="1" applyAlignment="1">
      <alignment horizontal="center" vertical="center"/>
    </xf>
    <xf numFmtId="2" fontId="93" fillId="0" borderId="22" xfId="0" applyNumberFormat="1" applyFont="1" applyFill="1" applyBorder="1" applyAlignment="1">
      <alignment horizontal="center" vertical="center"/>
    </xf>
    <xf numFmtId="2" fontId="92" fillId="25" borderId="22" xfId="0" applyNumberFormat="1" applyFont="1" applyFill="1" applyBorder="1" applyAlignment="1">
      <alignment horizontal="center" vertical="center"/>
    </xf>
    <xf numFmtId="1" fontId="92" fillId="28" borderId="31" xfId="0" applyNumberFormat="1" applyFont="1" applyFill="1" applyBorder="1" applyAlignment="1">
      <alignment horizontal="center" vertical="center"/>
    </xf>
    <xf numFmtId="2" fontId="93" fillId="0" borderId="31" xfId="0" applyNumberFormat="1" applyFont="1" applyFill="1" applyBorder="1" applyAlignment="1">
      <alignment horizontal="center" vertical="center"/>
    </xf>
    <xf numFmtId="2" fontId="92" fillId="24" borderId="31" xfId="0" applyNumberFormat="1" applyFont="1" applyFill="1" applyBorder="1" applyAlignment="1">
      <alignment horizontal="center" vertical="center"/>
    </xf>
    <xf numFmtId="2" fontId="93" fillId="0" borderId="32" xfId="0" applyNumberFormat="1" applyFont="1" applyFill="1" applyBorder="1" applyAlignment="1">
      <alignment horizontal="center" vertical="center"/>
    </xf>
    <xf numFmtId="2" fontId="93" fillId="0" borderId="33" xfId="0" applyNumberFormat="1" applyFont="1" applyFill="1" applyBorder="1" applyAlignment="1">
      <alignment horizontal="center" vertical="center"/>
    </xf>
    <xf numFmtId="2" fontId="93" fillId="0" borderId="34" xfId="0" applyNumberFormat="1" applyFont="1" applyFill="1" applyBorder="1" applyAlignment="1">
      <alignment horizontal="center" vertical="center"/>
    </xf>
    <xf numFmtId="1" fontId="93" fillId="0" borderId="12" xfId="0" applyNumberFormat="1" applyFont="1" applyFill="1" applyBorder="1" applyAlignment="1">
      <alignment horizontal="center" vertical="center"/>
    </xf>
    <xf numFmtId="0" fontId="93" fillId="0" borderId="18" xfId="0" applyFont="1" applyBorder="1" applyAlignment="1">
      <alignment horizontal="center" vertical="center"/>
    </xf>
    <xf numFmtId="0" fontId="92" fillId="24" borderId="30" xfId="0" applyFont="1" applyFill="1" applyBorder="1" applyAlignment="1">
      <alignment horizontal="center" vertical="center"/>
    </xf>
    <xf numFmtId="0" fontId="93" fillId="0" borderId="32" xfId="0" applyFont="1" applyFill="1" applyBorder="1" applyAlignment="1">
      <alignment horizontal="center" vertical="center"/>
    </xf>
    <xf numFmtId="0" fontId="93" fillId="0" borderId="33" xfId="0" applyFont="1" applyFill="1" applyBorder="1" applyAlignment="1">
      <alignment horizontal="center" vertical="center"/>
    </xf>
    <xf numFmtId="0" fontId="93" fillId="0" borderId="33" xfId="0" applyFont="1" applyBorder="1" applyAlignment="1">
      <alignment horizontal="center" vertical="center"/>
    </xf>
    <xf numFmtId="0" fontId="93" fillId="0" borderId="34" xfId="0" applyFont="1" applyBorder="1" applyAlignment="1">
      <alignment horizontal="center" vertical="center"/>
    </xf>
    <xf numFmtId="2" fontId="93" fillId="25" borderId="10" xfId="0" applyNumberFormat="1" applyFont="1" applyFill="1" applyBorder="1" applyAlignment="1">
      <alignment horizontal="center" vertical="center"/>
    </xf>
    <xf numFmtId="0" fontId="74" fillId="28" borderId="10" xfId="55" applyFont="1" applyFill="1" applyBorder="1" applyAlignment="1">
      <alignment horizontal="center" vertical="center" wrapText="1"/>
    </xf>
    <xf numFmtId="0" fontId="92" fillId="28" borderId="12" xfId="0" applyFont="1" applyFill="1" applyBorder="1" applyAlignment="1">
      <alignment horizontal="center" vertical="center"/>
    </xf>
    <xf numFmtId="0" fontId="92" fillId="28" borderId="10" xfId="0" applyFont="1" applyFill="1" applyBorder="1" applyAlignment="1">
      <alignment vertical="center"/>
    </xf>
    <xf numFmtId="0" fontId="92" fillId="28" borderId="18" xfId="0" applyFont="1" applyFill="1" applyBorder="1" applyAlignment="1">
      <alignment horizontal="center" vertical="center"/>
    </xf>
    <xf numFmtId="2" fontId="92" fillId="28" borderId="22" xfId="0" applyNumberFormat="1" applyFont="1" applyFill="1" applyBorder="1" applyAlignment="1">
      <alignment horizontal="center" vertical="center"/>
    </xf>
    <xf numFmtId="2" fontId="93" fillId="0" borderId="19" xfId="0" applyNumberFormat="1" applyFont="1" applyFill="1" applyBorder="1" applyAlignment="1">
      <alignment horizontal="center" vertical="center"/>
    </xf>
    <xf numFmtId="0" fontId="93" fillId="0" borderId="13" xfId="0" applyFont="1" applyFill="1" applyBorder="1" applyAlignment="1">
      <alignment horizontal="center" vertical="center"/>
    </xf>
    <xf numFmtId="1" fontId="90" fillId="28" borderId="31" xfId="0" applyNumberFormat="1" applyFont="1" applyFill="1" applyBorder="1" applyAlignment="1">
      <alignment horizontal="center" vertical="center"/>
    </xf>
    <xf numFmtId="1" fontId="91" fillId="0" borderId="31" xfId="0" applyNumberFormat="1" applyFont="1" applyFill="1" applyBorder="1" applyAlignment="1">
      <alignment horizontal="center" vertical="center"/>
    </xf>
    <xf numFmtId="0" fontId="93" fillId="0" borderId="34" xfId="0" applyFont="1" applyFill="1" applyBorder="1" applyAlignment="1">
      <alignment horizontal="center" vertical="center"/>
    </xf>
    <xf numFmtId="0" fontId="73" fillId="27" borderId="10" xfId="0" applyFont="1" applyFill="1" applyBorder="1" applyAlignment="1">
      <alignment horizontal="center" vertical="center"/>
    </xf>
    <xf numFmtId="0" fontId="102" fillId="27" borderId="10" xfId="0" applyFont="1" applyFill="1" applyBorder="1" applyAlignment="1">
      <alignment horizontal="center" vertical="center"/>
    </xf>
    <xf numFmtId="2" fontId="93" fillId="27" borderId="13" xfId="0" applyNumberFormat="1" applyFont="1" applyFill="1" applyBorder="1" applyAlignment="1">
      <alignment horizontal="center" vertical="center"/>
    </xf>
    <xf numFmtId="0" fontId="92" fillId="25" borderId="30" xfId="0" applyFont="1" applyFill="1" applyBorder="1" applyAlignment="1">
      <alignment horizontal="center" vertical="center"/>
    </xf>
    <xf numFmtId="0" fontId="92" fillId="28" borderId="30" xfId="0" applyFont="1" applyFill="1" applyBorder="1" applyAlignment="1">
      <alignment horizontal="center" vertical="center"/>
    </xf>
    <xf numFmtId="0" fontId="93" fillId="27" borderId="30" xfId="0" applyFont="1" applyFill="1" applyBorder="1" applyAlignment="1">
      <alignment horizontal="center" vertical="center"/>
    </xf>
    <xf numFmtId="0" fontId="83" fillId="0" borderId="30" xfId="45" applyFont="1" applyFill="1" applyBorder="1" applyAlignment="1">
      <alignment horizontal="center" vertical="center"/>
    </xf>
    <xf numFmtId="49" fontId="74" fillId="24" borderId="30" xfId="55" applyNumberFormat="1" applyFont="1" applyFill="1" applyBorder="1" applyAlignment="1">
      <alignment horizontal="center" vertical="center"/>
    </xf>
    <xf numFmtId="49" fontId="74" fillId="0" borderId="30" xfId="55" applyNumberFormat="1" applyFont="1" applyFill="1" applyBorder="1" applyAlignment="1">
      <alignment horizontal="center" vertical="center"/>
    </xf>
    <xf numFmtId="49" fontId="72" fillId="0" borderId="30" xfId="55" applyNumberFormat="1" applyFont="1" applyFill="1" applyBorder="1" applyAlignment="1">
      <alignment horizontal="center" vertical="center"/>
    </xf>
    <xf numFmtId="49" fontId="74" fillId="25" borderId="30" xfId="55" applyNumberFormat="1" applyFont="1" applyFill="1" applyBorder="1" applyAlignment="1">
      <alignment horizontal="center" vertical="center"/>
    </xf>
    <xf numFmtId="2" fontId="92" fillId="25" borderId="31" xfId="0" applyNumberFormat="1" applyFont="1" applyFill="1" applyBorder="1" applyAlignment="1">
      <alignment horizontal="center" vertical="center"/>
    </xf>
    <xf numFmtId="49" fontId="78" fillId="0" borderId="30" xfId="55" applyNumberFormat="1" applyFont="1" applyFill="1" applyBorder="1" applyAlignment="1">
      <alignment horizontal="center" vertical="center"/>
    </xf>
    <xf numFmtId="49" fontId="74" fillId="28" borderId="30" xfId="55" applyNumberFormat="1" applyFont="1" applyFill="1" applyBorder="1" applyAlignment="1">
      <alignment horizontal="center" vertical="center"/>
    </xf>
    <xf numFmtId="2" fontId="93" fillId="28" borderId="31" xfId="0" applyNumberFormat="1" applyFont="1" applyFill="1" applyBorder="1" applyAlignment="1">
      <alignment horizontal="center" vertical="center"/>
    </xf>
    <xf numFmtId="49" fontId="91" fillId="27" borderId="30" xfId="55" applyNumberFormat="1" applyFont="1" applyFill="1" applyBorder="1" applyAlignment="1">
      <alignment horizontal="center" vertical="center"/>
    </xf>
    <xf numFmtId="49" fontId="72" fillId="27" borderId="30" xfId="55" applyNumberFormat="1" applyFont="1" applyFill="1" applyBorder="1" applyAlignment="1">
      <alignment horizontal="center" vertical="center"/>
    </xf>
    <xf numFmtId="49" fontId="74" fillId="24" borderId="40" xfId="55" applyNumberFormat="1" applyFont="1" applyFill="1" applyBorder="1" applyAlignment="1">
      <alignment horizontal="center" vertical="center"/>
    </xf>
    <xf numFmtId="49" fontId="72" fillId="0" borderId="32" xfId="55" applyNumberFormat="1" applyFont="1" applyFill="1" applyBorder="1" applyAlignment="1">
      <alignment horizontal="center" vertical="center"/>
    </xf>
    <xf numFmtId="49" fontId="72" fillId="0" borderId="33" xfId="55" applyNumberFormat="1" applyFont="1" applyFill="1" applyBorder="1" applyAlignment="1">
      <alignment horizontal="center" vertical="center" wrapText="1"/>
    </xf>
    <xf numFmtId="0" fontId="72" fillId="0" borderId="33" xfId="55" applyFont="1" applyBorder="1" applyAlignment="1">
      <alignment horizontal="center" vertical="center"/>
    </xf>
    <xf numFmtId="49" fontId="117" fillId="28" borderId="10" xfId="55" applyNumberFormat="1" applyFont="1" applyFill="1" applyBorder="1" applyAlignment="1">
      <alignment horizontal="center" vertical="center"/>
    </xf>
    <xf numFmtId="0" fontId="117" fillId="28" borderId="10" xfId="55" applyFont="1" applyFill="1" applyBorder="1" applyAlignment="1">
      <alignment horizontal="center" vertical="center" wrapText="1"/>
    </xf>
    <xf numFmtId="0" fontId="117" fillId="28" borderId="10" xfId="55" applyFont="1" applyFill="1" applyBorder="1" applyAlignment="1">
      <alignment horizontal="center" vertical="center"/>
    </xf>
    <xf numFmtId="0" fontId="115" fillId="28" borderId="10" xfId="0" applyFont="1" applyFill="1" applyBorder="1" applyAlignment="1">
      <alignment horizontal="center" vertical="center" wrapText="1"/>
    </xf>
    <xf numFmtId="2" fontId="95" fillId="28" borderId="10" xfId="0" applyNumberFormat="1" applyFont="1" applyFill="1" applyBorder="1" applyAlignment="1">
      <alignment horizontal="center" vertical="center"/>
    </xf>
    <xf numFmtId="17" fontId="95" fillId="0" borderId="10" xfId="0" applyNumberFormat="1" applyFont="1" applyFill="1" applyBorder="1" applyAlignment="1">
      <alignment horizontal="center" vertical="center"/>
    </xf>
    <xf numFmtId="4" fontId="78" fillId="27" borderId="10" xfId="0" applyNumberFormat="1" applyFont="1" applyFill="1" applyBorder="1" applyAlignment="1">
      <alignment horizontal="center" vertical="center" wrapText="1"/>
    </xf>
    <xf numFmtId="2" fontId="91" fillId="28" borderId="10" xfId="0" applyNumberFormat="1" applyFont="1" applyFill="1" applyBorder="1" applyAlignment="1">
      <alignment horizontal="center" vertical="center"/>
    </xf>
    <xf numFmtId="0" fontId="96" fillId="28" borderId="10" xfId="55" applyFont="1" applyFill="1" applyBorder="1" applyAlignment="1">
      <alignment horizontal="center" vertical="center" wrapText="1"/>
    </xf>
    <xf numFmtId="2" fontId="90" fillId="28" borderId="10" xfId="0" applyNumberFormat="1" applyFont="1" applyFill="1" applyBorder="1" applyAlignment="1">
      <alignment horizontal="center" vertical="center"/>
    </xf>
    <xf numFmtId="49" fontId="96" fillId="30" borderId="10" xfId="55" applyNumberFormat="1" applyFont="1" applyFill="1" applyBorder="1" applyAlignment="1">
      <alignment horizontal="center" vertical="center"/>
    </xf>
    <xf numFmtId="0" fontId="96" fillId="30" borderId="10" xfId="55" applyFont="1" applyFill="1" applyBorder="1" applyAlignment="1">
      <alignment horizontal="center" vertical="center" wrapText="1"/>
    </xf>
    <xf numFmtId="0" fontId="96" fillId="30" borderId="10" xfId="55" applyFont="1" applyFill="1" applyBorder="1" applyAlignment="1">
      <alignment horizontal="center" vertical="center"/>
    </xf>
    <xf numFmtId="0" fontId="92" fillId="30" borderId="10" xfId="0" applyFont="1" applyFill="1" applyBorder="1" applyAlignment="1">
      <alignment horizontal="center" vertical="center"/>
    </xf>
    <xf numFmtId="2" fontId="90" fillId="30" borderId="10" xfId="0" applyNumberFormat="1" applyFont="1" applyFill="1" applyBorder="1" applyAlignment="1">
      <alignment horizontal="center" vertical="center"/>
    </xf>
    <xf numFmtId="2" fontId="92" fillId="30" borderId="10" xfId="0" applyNumberFormat="1" applyFont="1" applyFill="1" applyBorder="1" applyAlignment="1">
      <alignment horizontal="center" vertical="center"/>
    </xf>
    <xf numFmtId="2" fontId="109" fillId="30" borderId="10" xfId="0" applyNumberFormat="1" applyFont="1" applyFill="1" applyBorder="1" applyAlignment="1">
      <alignment horizontal="center" vertical="center"/>
    </xf>
    <xf numFmtId="169" fontId="92" fillId="30" borderId="10" xfId="0" applyNumberFormat="1" applyFont="1" applyFill="1" applyBorder="1" applyAlignment="1">
      <alignment horizontal="center" vertical="center"/>
    </xf>
    <xf numFmtId="2" fontId="107" fillId="27" borderId="11" xfId="0" applyNumberFormat="1" applyFont="1" applyFill="1" applyBorder="1" applyAlignment="1">
      <alignment horizontal="center" vertical="center"/>
    </xf>
    <xf numFmtId="49" fontId="78" fillId="27" borderId="10" xfId="55" applyNumberFormat="1" applyFont="1" applyFill="1" applyBorder="1" applyAlignment="1">
      <alignment horizontal="center" vertical="center"/>
    </xf>
    <xf numFmtId="0" fontId="78" fillId="27" borderId="10" xfId="55" applyFont="1" applyFill="1" applyBorder="1" applyAlignment="1">
      <alignment horizontal="center" vertical="center" wrapText="1"/>
    </xf>
    <xf numFmtId="0" fontId="72" fillId="30" borderId="10" xfId="55" applyFont="1" applyFill="1" applyBorder="1" applyAlignment="1">
      <alignment horizontal="center" vertical="center" wrapText="1"/>
    </xf>
    <xf numFmtId="0" fontId="101" fillId="28" borderId="10" xfId="0" applyFont="1" applyFill="1" applyBorder="1" applyAlignment="1">
      <alignment horizontal="center" vertical="center"/>
    </xf>
    <xf numFmtId="49" fontId="72" fillId="28" borderId="10" xfId="55" applyNumberFormat="1" applyFont="1" applyFill="1" applyBorder="1" applyAlignment="1">
      <alignment horizontal="center" vertical="center"/>
    </xf>
    <xf numFmtId="0" fontId="72" fillId="28" borderId="10" xfId="55" applyFont="1" applyFill="1" applyBorder="1" applyAlignment="1">
      <alignment horizontal="center" vertical="center" wrapText="1"/>
    </xf>
    <xf numFmtId="0" fontId="102" fillId="28" borderId="10" xfId="0" applyFont="1" applyFill="1" applyBorder="1" applyAlignment="1">
      <alignment horizontal="center" vertical="center"/>
    </xf>
    <xf numFmtId="49" fontId="106" fillId="28" borderId="10" xfId="55" applyNumberFormat="1" applyFont="1" applyFill="1" applyBorder="1" applyAlignment="1">
      <alignment horizontal="center" vertical="center"/>
    </xf>
    <xf numFmtId="0" fontId="106" fillId="28" borderId="12" xfId="55" applyFont="1" applyFill="1" applyBorder="1" applyAlignment="1">
      <alignment horizontal="center" vertical="center" wrapText="1"/>
    </xf>
    <xf numFmtId="0" fontId="109" fillId="28" borderId="10" xfId="0" applyFont="1" applyFill="1" applyBorder="1" applyAlignment="1">
      <alignment horizontal="center" vertical="center"/>
    </xf>
    <xf numFmtId="2" fontId="109" fillId="28" borderId="10" xfId="0" applyNumberFormat="1" applyFont="1" applyFill="1" applyBorder="1" applyAlignment="1">
      <alignment horizontal="center" vertical="center"/>
    </xf>
    <xf numFmtId="0" fontId="90" fillId="28" borderId="10" xfId="0" applyFont="1" applyFill="1" applyBorder="1" applyAlignment="1">
      <alignment horizontal="center" vertical="center"/>
    </xf>
    <xf numFmtId="0" fontId="124" fillId="28" borderId="10" xfId="55" applyFont="1" applyFill="1" applyBorder="1" applyAlignment="1">
      <alignment horizontal="center" vertical="center"/>
    </xf>
    <xf numFmtId="168" fontId="90" fillId="28" borderId="10" xfId="0" applyNumberFormat="1" applyFont="1" applyFill="1" applyBorder="1" applyAlignment="1">
      <alignment horizontal="center" vertical="center"/>
    </xf>
    <xf numFmtId="49" fontId="124" fillId="28" borderId="10" xfId="55" applyNumberFormat="1" applyFont="1" applyFill="1" applyBorder="1" applyAlignment="1">
      <alignment horizontal="center" vertical="center"/>
    </xf>
    <xf numFmtId="0" fontId="124" fillId="28" borderId="10" xfId="55" applyFont="1" applyFill="1" applyBorder="1" applyAlignment="1">
      <alignment horizontal="center" vertical="center" wrapText="1"/>
    </xf>
    <xf numFmtId="168" fontId="124" fillId="28" borderId="10" xfId="55" applyNumberFormat="1" applyFont="1" applyFill="1" applyBorder="1" applyAlignment="1">
      <alignment horizontal="center" vertical="center"/>
    </xf>
    <xf numFmtId="0" fontId="124" fillId="28" borderId="12" xfId="55" applyFont="1" applyFill="1" applyBorder="1" applyAlignment="1">
      <alignment horizontal="center" vertical="center" wrapText="1"/>
    </xf>
    <xf numFmtId="0" fontId="72" fillId="28" borderId="12" xfId="55" applyFont="1" applyFill="1" applyBorder="1" applyAlignment="1">
      <alignment horizontal="center" vertical="center" wrapText="1"/>
    </xf>
    <xf numFmtId="168" fontId="87" fillId="28" borderId="10" xfId="55" applyNumberFormat="1" applyFont="1" applyFill="1" applyBorder="1" applyAlignment="1">
      <alignment horizontal="center" vertical="center"/>
    </xf>
    <xf numFmtId="49" fontId="72" fillId="25" borderId="13" xfId="55" applyNumberFormat="1" applyFont="1" applyFill="1" applyBorder="1" applyAlignment="1">
      <alignment horizontal="center" vertical="center"/>
    </xf>
    <xf numFmtId="0" fontId="72" fillId="25" borderId="14" xfId="55" applyFont="1" applyFill="1" applyBorder="1" applyAlignment="1">
      <alignment horizontal="center" vertical="center" wrapText="1"/>
    </xf>
    <xf numFmtId="0" fontId="72" fillId="25" borderId="13" xfId="55" applyFont="1" applyFill="1" applyBorder="1" applyAlignment="1">
      <alignment horizontal="center" vertical="center"/>
    </xf>
    <xf numFmtId="2" fontId="73" fillId="25" borderId="13" xfId="0" applyNumberFormat="1" applyFont="1" applyFill="1" applyBorder="1" applyAlignment="1">
      <alignment horizontal="center" vertical="center"/>
    </xf>
    <xf numFmtId="0" fontId="72" fillId="25" borderId="13" xfId="55" applyFont="1" applyFill="1" applyBorder="1" applyAlignment="1">
      <alignment horizontal="center" vertical="center" wrapText="1"/>
    </xf>
    <xf numFmtId="0" fontId="72" fillId="25" borderId="13" xfId="37" applyFont="1" applyFill="1" applyBorder="1" applyAlignment="1">
      <alignment horizontal="center" vertical="center"/>
    </xf>
    <xf numFmtId="3" fontId="139" fillId="0" borderId="28" xfId="36" applyNumberFormat="1" applyFont="1" applyFill="1" applyBorder="1" applyAlignment="1">
      <alignment horizontal="center" vertical="center"/>
    </xf>
    <xf numFmtId="171" fontId="139" fillId="0" borderId="28" xfId="1813" applyNumberFormat="1" applyFont="1" applyFill="1" applyBorder="1" applyAlignment="1">
      <alignment horizontal="center" vertical="center"/>
    </xf>
    <xf numFmtId="171" fontId="139" fillId="0" borderId="18" xfId="1813" applyNumberFormat="1" applyFont="1" applyFill="1" applyBorder="1" applyAlignment="1">
      <alignment horizontal="center" vertical="center"/>
    </xf>
    <xf numFmtId="171" fontId="143" fillId="0" borderId="51" xfId="1813" applyNumberFormat="1" applyFont="1" applyFill="1" applyBorder="1" applyAlignment="1">
      <alignment horizontal="center" vertical="top"/>
    </xf>
    <xf numFmtId="171" fontId="139" fillId="0" borderId="22" xfId="1813" applyNumberFormat="1" applyFont="1" applyFill="1" applyBorder="1" applyAlignment="1">
      <alignment horizontal="center" vertical="center"/>
    </xf>
    <xf numFmtId="171" fontId="139" fillId="0" borderId="49" xfId="1813" applyNumberFormat="1" applyFont="1" applyFill="1" applyBorder="1" applyAlignment="1">
      <alignment horizontal="center" vertical="center"/>
    </xf>
    <xf numFmtId="171" fontId="139" fillId="28" borderId="28" xfId="1813" applyNumberFormat="1" applyFont="1" applyFill="1" applyBorder="1" applyAlignment="1">
      <alignment horizontal="center" vertical="center"/>
    </xf>
    <xf numFmtId="171" fontId="139" fillId="28" borderId="25" xfId="1813" applyNumberFormat="1" applyFont="1" applyFill="1" applyBorder="1" applyAlignment="1">
      <alignment horizontal="center" vertical="center"/>
    </xf>
    <xf numFmtId="49" fontId="134" fillId="0" borderId="21" xfId="36" applyNumberFormat="1" applyFont="1" applyFill="1" applyBorder="1" applyAlignment="1">
      <alignment horizontal="center"/>
    </xf>
    <xf numFmtId="171" fontId="139" fillId="0" borderId="48" xfId="1813" applyNumberFormat="1" applyFont="1" applyFill="1" applyBorder="1" applyAlignment="1">
      <alignment horizontal="center" vertical="center" wrapText="1"/>
    </xf>
    <xf numFmtId="171" fontId="139" fillId="0" borderId="50" xfId="1813" applyNumberFormat="1" applyFont="1" applyFill="1" applyBorder="1" applyAlignment="1">
      <alignment horizontal="center" vertical="center"/>
    </xf>
    <xf numFmtId="171" fontId="139" fillId="0" borderId="38" xfId="1813" applyNumberFormat="1" applyFont="1" applyFill="1" applyBorder="1" applyAlignment="1">
      <alignment horizontal="center" vertical="center"/>
    </xf>
    <xf numFmtId="0" fontId="72" fillId="0" borderId="10" xfId="55" applyFont="1" applyFill="1" applyBorder="1" applyAlignment="1">
      <alignment horizontal="center" vertical="center" wrapText="1"/>
    </xf>
    <xf numFmtId="0" fontId="73" fillId="0" borderId="10" xfId="0" applyFont="1" applyFill="1" applyBorder="1" applyAlignment="1">
      <alignment horizontal="center" vertical="center" wrapText="1"/>
    </xf>
    <xf numFmtId="0" fontId="152" fillId="0" borderId="0" xfId="55" applyFont="1"/>
    <xf numFmtId="2" fontId="115" fillId="31" borderId="10" xfId="0" applyNumberFormat="1" applyFont="1" applyFill="1" applyBorder="1" applyAlignment="1">
      <alignment horizontal="center" vertical="center"/>
    </xf>
    <xf numFmtId="49" fontId="96" fillId="31" borderId="10" xfId="55" applyNumberFormat="1" applyFont="1" applyFill="1" applyBorder="1" applyAlignment="1">
      <alignment horizontal="center" vertical="center"/>
    </xf>
    <xf numFmtId="0" fontId="96" fillId="31" borderId="12" xfId="55" applyFont="1" applyFill="1" applyBorder="1" applyAlignment="1">
      <alignment horizontal="center" vertical="center" wrapText="1"/>
    </xf>
    <xf numFmtId="0" fontId="115" fillId="31" borderId="10" xfId="0" applyFont="1" applyFill="1" applyBorder="1" applyAlignment="1">
      <alignment horizontal="center" vertical="center"/>
    </xf>
    <xf numFmtId="0" fontId="95" fillId="31" borderId="10" xfId="0" applyFont="1" applyFill="1" applyBorder="1" applyAlignment="1">
      <alignment horizontal="center" vertical="center"/>
    </xf>
    <xf numFmtId="17" fontId="115" fillId="31" borderId="10" xfId="37" applyNumberFormat="1" applyFont="1" applyFill="1" applyBorder="1" applyAlignment="1">
      <alignment horizontal="center" vertical="center"/>
    </xf>
    <xf numFmtId="168" fontId="89" fillId="31" borderId="10" xfId="55" applyNumberFormat="1" applyFont="1" applyFill="1" applyBorder="1" applyAlignment="1">
      <alignment horizontal="center" vertical="center"/>
    </xf>
    <xf numFmtId="17" fontId="95" fillId="31" borderId="10" xfId="37" applyNumberFormat="1" applyFont="1" applyFill="1" applyBorder="1" applyAlignment="1">
      <alignment horizontal="center" vertical="center"/>
    </xf>
    <xf numFmtId="0" fontId="89" fillId="0" borderId="10" xfId="55" applyFont="1" applyFill="1" applyBorder="1" applyAlignment="1">
      <alignment horizontal="center" vertical="center"/>
    </xf>
    <xf numFmtId="0" fontId="71" fillId="28" borderId="10" xfId="55" applyFont="1" applyFill="1" applyBorder="1" applyAlignment="1">
      <alignment horizontal="center" vertical="center" wrapText="1"/>
    </xf>
    <xf numFmtId="0" fontId="72" fillId="0" borderId="10" xfId="55" applyFont="1" applyBorder="1" applyAlignment="1">
      <alignment horizontal="center" vertical="center" textRotation="90" wrapText="1"/>
    </xf>
    <xf numFmtId="0" fontId="93" fillId="0" borderId="0" xfId="0" applyFont="1" applyFill="1" applyAlignment="1">
      <alignment horizontal="center"/>
    </xf>
    <xf numFmtId="0" fontId="72" fillId="0" borderId="10" xfId="55" applyFont="1" applyBorder="1" applyAlignment="1">
      <alignment horizontal="center" vertical="center" wrapText="1"/>
    </xf>
    <xf numFmtId="0" fontId="72" fillId="0" borderId="10" xfId="55" applyFont="1" applyFill="1" applyBorder="1" applyAlignment="1">
      <alignment horizontal="center" vertical="center" wrapText="1"/>
    </xf>
    <xf numFmtId="0" fontId="96" fillId="0" borderId="0" xfId="55" applyFont="1" applyAlignment="1">
      <alignment horizontal="center"/>
    </xf>
    <xf numFmtId="0" fontId="74" fillId="0" borderId="0" xfId="55" applyFont="1" applyBorder="1" applyAlignment="1">
      <alignment horizontal="center" vertical="center" wrapText="1"/>
    </xf>
    <xf numFmtId="0" fontId="96" fillId="0" borderId="0" xfId="55" applyFont="1" applyAlignment="1">
      <alignment horizontal="center" vertical="center"/>
    </xf>
    <xf numFmtId="0" fontId="87" fillId="0" borderId="0" xfId="55" applyFont="1" applyAlignment="1">
      <alignment horizontal="center" vertical="center"/>
    </xf>
    <xf numFmtId="0" fontId="87" fillId="0" borderId="0" xfId="55" applyFont="1" applyAlignment="1">
      <alignment horizontal="center" vertical="top"/>
    </xf>
    <xf numFmtId="0" fontId="71" fillId="0" borderId="0" xfId="55" applyFont="1" applyAlignment="1">
      <alignment horizontal="center" vertical="top"/>
    </xf>
    <xf numFmtId="0" fontId="77" fillId="0" borderId="0" xfId="55" applyFont="1" applyBorder="1" applyAlignment="1">
      <alignment horizontal="center" vertical="center" wrapText="1"/>
    </xf>
    <xf numFmtId="0" fontId="77" fillId="0" borderId="0" xfId="55" applyFont="1" applyAlignment="1">
      <alignment horizontal="center" vertical="center"/>
    </xf>
    <xf numFmtId="0" fontId="77" fillId="0" borderId="0" xfId="55" applyFont="1" applyAlignment="1">
      <alignment horizontal="center"/>
    </xf>
    <xf numFmtId="0" fontId="71" fillId="0" borderId="0" xfId="55" applyFont="1" applyAlignment="1">
      <alignment horizontal="center" vertical="center"/>
    </xf>
    <xf numFmtId="0" fontId="102" fillId="0" borderId="0" xfId="0" applyFont="1" applyFill="1" applyAlignment="1">
      <alignment horizontal="center"/>
    </xf>
    <xf numFmtId="0" fontId="71" fillId="0" borderId="10" xfId="55" applyFont="1" applyBorder="1" applyAlignment="1">
      <alignment horizontal="center" vertical="center" wrapText="1"/>
    </xf>
    <xf numFmtId="0" fontId="71" fillId="0" borderId="10" xfId="55" applyFont="1" applyFill="1" applyBorder="1" applyAlignment="1">
      <alignment horizontal="center" vertical="center" wrapText="1"/>
    </xf>
    <xf numFmtId="0" fontId="71" fillId="0" borderId="10" xfId="55" applyFont="1" applyBorder="1" applyAlignment="1">
      <alignment horizontal="center" vertical="center" textRotation="90" wrapText="1"/>
    </xf>
    <xf numFmtId="0" fontId="89" fillId="0" borderId="0" xfId="55" applyFont="1" applyAlignment="1">
      <alignment horizontal="center"/>
    </xf>
    <xf numFmtId="0" fontId="107" fillId="0" borderId="12" xfId="0" applyFont="1" applyFill="1" applyBorder="1" applyAlignment="1">
      <alignment horizontal="center" vertical="center" wrapText="1"/>
    </xf>
    <xf numFmtId="0" fontId="107" fillId="0" borderId="22" xfId="0" applyFont="1" applyFill="1" applyBorder="1" applyAlignment="1">
      <alignment horizontal="center" vertical="center" wrapText="1"/>
    </xf>
    <xf numFmtId="0" fontId="107" fillId="0" borderId="18" xfId="0" applyFont="1" applyFill="1" applyBorder="1" applyAlignment="1">
      <alignment horizontal="center" vertical="center" wrapText="1"/>
    </xf>
    <xf numFmtId="0" fontId="107" fillId="0" borderId="11" xfId="0" applyFont="1" applyFill="1" applyBorder="1" applyAlignment="1">
      <alignment horizontal="center" vertical="center" wrapText="1"/>
    </xf>
    <xf numFmtId="0" fontId="107" fillId="0" borderId="17" xfId="0" applyFont="1" applyFill="1" applyBorder="1" applyAlignment="1">
      <alignment horizontal="center" vertical="center" wrapText="1"/>
    </xf>
    <xf numFmtId="0" fontId="107" fillId="0" borderId="13"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9" fillId="0" borderId="12" xfId="0" applyFont="1" applyFill="1" applyBorder="1" applyAlignment="1">
      <alignment horizontal="center" vertical="center" wrapText="1"/>
    </xf>
    <xf numFmtId="0" fontId="109" fillId="0" borderId="22" xfId="0" applyFont="1" applyFill="1" applyBorder="1" applyAlignment="1">
      <alignment horizontal="center" vertical="center" wrapText="1"/>
    </xf>
    <xf numFmtId="0" fontId="109" fillId="0" borderId="18" xfId="0" applyFont="1" applyFill="1" applyBorder="1" applyAlignment="1">
      <alignment horizontal="center" vertical="center" wrapText="1"/>
    </xf>
    <xf numFmtId="0" fontId="107" fillId="0" borderId="10" xfId="0" applyFont="1" applyFill="1" applyBorder="1" applyAlignment="1">
      <alignment horizontal="center" vertical="center" textRotation="90" wrapText="1"/>
    </xf>
    <xf numFmtId="0" fontId="80" fillId="0" borderId="0" xfId="0" applyFont="1" applyFill="1" applyAlignment="1">
      <alignment horizontal="center" vertical="center"/>
    </xf>
    <xf numFmtId="0" fontId="107" fillId="0" borderId="16" xfId="0" applyFont="1" applyFill="1" applyBorder="1" applyAlignment="1">
      <alignment horizontal="center" vertical="center" wrapText="1"/>
    </xf>
    <xf numFmtId="0" fontId="107" fillId="0" borderId="15"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0" borderId="14" xfId="0" applyFont="1" applyFill="1" applyBorder="1" applyAlignment="1">
      <alignment horizontal="center" vertical="center" wrapText="1"/>
    </xf>
    <xf numFmtId="0" fontId="107" fillId="0" borderId="21"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11" xfId="0" applyFont="1" applyFill="1" applyBorder="1" applyAlignment="1">
      <alignment horizontal="center" vertical="center" textRotation="90" wrapText="1"/>
    </xf>
    <xf numFmtId="0" fontId="107" fillId="0" borderId="17" xfId="0" applyFont="1" applyFill="1" applyBorder="1" applyAlignment="1">
      <alignment horizontal="center" vertical="center" textRotation="90" wrapText="1"/>
    </xf>
    <xf numFmtId="0" fontId="107" fillId="0" borderId="13" xfId="0" applyFont="1" applyFill="1" applyBorder="1" applyAlignment="1">
      <alignment horizontal="center" vertical="center" textRotation="90" wrapText="1"/>
    </xf>
    <xf numFmtId="0" fontId="80" fillId="0" borderId="0" xfId="0" applyFont="1" applyFill="1" applyAlignment="1">
      <alignment horizontal="center"/>
    </xf>
    <xf numFmtId="0" fontId="72" fillId="0" borderId="0" xfId="55" applyFont="1" applyAlignment="1">
      <alignment horizontal="center" vertical="center"/>
    </xf>
    <xf numFmtId="0" fontId="72" fillId="0" borderId="0" xfId="55" applyFont="1" applyAlignment="1">
      <alignment horizontal="center" vertical="top"/>
    </xf>
    <xf numFmtId="0" fontId="73" fillId="0" borderId="0" xfId="0" applyFont="1" applyFill="1" applyAlignment="1">
      <alignment horizontal="center"/>
    </xf>
    <xf numFmtId="1" fontId="80" fillId="0" borderId="21" xfId="0" applyNumberFormat="1" applyFont="1" applyFill="1" applyBorder="1" applyAlignment="1">
      <alignment horizontal="center" vertical="top"/>
    </xf>
    <xf numFmtId="0" fontId="73" fillId="0" borderId="10"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1"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2"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0" xfId="0" applyFont="1" applyFill="1" applyBorder="1" applyAlignment="1">
      <alignment horizontal="center" vertical="center" textRotation="90" wrapText="1"/>
    </xf>
    <xf numFmtId="0" fontId="153" fillId="0" borderId="36" xfId="45" applyFont="1" applyFill="1" applyBorder="1" applyAlignment="1">
      <alignment horizontal="center" vertical="center" wrapText="1"/>
    </xf>
    <xf numFmtId="0" fontId="153" fillId="0" borderId="37" xfId="45" applyFont="1" applyFill="1" applyBorder="1" applyAlignment="1">
      <alignment horizontal="center" vertical="center" wrapText="1"/>
    </xf>
    <xf numFmtId="0" fontId="153" fillId="0" borderId="10" xfId="45" applyFont="1" applyFill="1" applyBorder="1" applyAlignment="1">
      <alignment horizontal="center" vertical="center" wrapText="1"/>
    </xf>
    <xf numFmtId="0" fontId="153" fillId="0" borderId="31" xfId="45" applyFont="1" applyFill="1" applyBorder="1" applyAlignment="1">
      <alignment horizontal="center" vertical="center" wrapText="1"/>
    </xf>
    <xf numFmtId="0" fontId="83" fillId="0" borderId="28" xfId="45" applyFont="1" applyFill="1" applyBorder="1" applyAlignment="1">
      <alignment horizontal="center" vertical="center"/>
    </xf>
    <xf numFmtId="0" fontId="83" fillId="0" borderId="22" xfId="45" applyFont="1" applyFill="1" applyBorder="1" applyAlignment="1">
      <alignment horizontal="center" vertical="center"/>
    </xf>
    <xf numFmtId="0" fontId="83" fillId="0" borderId="12" xfId="45" applyFont="1" applyFill="1" applyBorder="1" applyAlignment="1">
      <alignment horizontal="center" vertical="center" wrapText="1"/>
    </xf>
    <xf numFmtId="0" fontId="83" fillId="0" borderId="22" xfId="45" applyFont="1" applyFill="1" applyBorder="1" applyAlignment="1">
      <alignment horizontal="center" vertical="center" wrapText="1"/>
    </xf>
    <xf numFmtId="0" fontId="83" fillId="0" borderId="29" xfId="45" applyFont="1" applyFill="1" applyBorder="1" applyAlignment="1">
      <alignment horizontal="center" vertical="center" wrapText="1"/>
    </xf>
    <xf numFmtId="0" fontId="83" fillId="0" borderId="35" xfId="45" applyFont="1" applyFill="1" applyBorder="1" applyAlignment="1">
      <alignment horizontal="center" vertical="center" wrapText="1"/>
    </xf>
    <xf numFmtId="0" fontId="83" fillId="0" borderId="36" xfId="45" applyFont="1" applyFill="1" applyBorder="1" applyAlignment="1">
      <alignment horizontal="center" vertical="center" wrapText="1"/>
    </xf>
    <xf numFmtId="0" fontId="83" fillId="0" borderId="37" xfId="45" applyFont="1" applyFill="1" applyBorder="1" applyAlignment="1">
      <alignment horizontal="center" vertical="center" wrapText="1"/>
    </xf>
    <xf numFmtId="0" fontId="83" fillId="0" borderId="25" xfId="45" applyFont="1" applyFill="1" applyBorder="1" applyAlignment="1">
      <alignment horizontal="center" vertical="center"/>
    </xf>
    <xf numFmtId="0" fontId="83" fillId="0" borderId="26" xfId="45" applyFont="1" applyFill="1" applyBorder="1" applyAlignment="1">
      <alignment horizontal="center" vertical="center"/>
    </xf>
    <xf numFmtId="0" fontId="83" fillId="0" borderId="27" xfId="45" applyFont="1" applyFill="1" applyBorder="1" applyAlignment="1">
      <alignment horizontal="center" vertical="center"/>
    </xf>
    <xf numFmtId="0" fontId="83" fillId="0" borderId="35" xfId="45" applyFont="1" applyFill="1" applyBorder="1" applyAlignment="1">
      <alignment horizontal="center" vertical="center"/>
    </xf>
    <xf numFmtId="0" fontId="83" fillId="0" borderId="36" xfId="45" applyFont="1" applyFill="1" applyBorder="1" applyAlignment="1">
      <alignment horizontal="center" vertical="center"/>
    </xf>
    <xf numFmtId="0" fontId="83" fillId="0" borderId="37" xfId="45" applyFont="1" applyFill="1" applyBorder="1" applyAlignment="1">
      <alignment horizontal="center" vertical="center"/>
    </xf>
    <xf numFmtId="0" fontId="83" fillId="0" borderId="20" xfId="45" applyFont="1" applyFill="1" applyBorder="1" applyAlignment="1">
      <alignment horizontal="center" vertical="center"/>
    </xf>
    <xf numFmtId="0" fontId="83" fillId="0" borderId="11" xfId="45" applyFont="1" applyFill="1" applyBorder="1" applyAlignment="1">
      <alignment horizontal="center" vertical="center"/>
    </xf>
    <xf numFmtId="0" fontId="83" fillId="0" borderId="70" xfId="45" applyFont="1" applyFill="1" applyBorder="1" applyAlignment="1">
      <alignment horizontal="center" vertical="center" wrapText="1"/>
    </xf>
    <xf numFmtId="0" fontId="83" fillId="0" borderId="72" xfId="45" applyFont="1" applyFill="1" applyBorder="1" applyAlignment="1">
      <alignment horizontal="center" vertical="center" wrapText="1"/>
    </xf>
    <xf numFmtId="0" fontId="83" fillId="0" borderId="40" xfId="45" applyFont="1" applyFill="1" applyBorder="1" applyAlignment="1">
      <alignment horizontal="center" vertical="center" wrapText="1"/>
    </xf>
    <xf numFmtId="0" fontId="83" fillId="0" borderId="71" xfId="45" applyFont="1" applyFill="1" applyBorder="1" applyAlignment="1">
      <alignment horizontal="center" vertical="center" wrapText="1"/>
    </xf>
    <xf numFmtId="0" fontId="83" fillId="0" borderId="17" xfId="45" applyFont="1" applyFill="1" applyBorder="1" applyAlignment="1">
      <alignment horizontal="center" vertical="center" wrapText="1"/>
    </xf>
    <xf numFmtId="0" fontId="83" fillId="0" borderId="13" xfId="45" applyFont="1" applyFill="1" applyBorder="1" applyAlignment="1">
      <alignment horizontal="center" vertical="center" wrapText="1"/>
    </xf>
    <xf numFmtId="0" fontId="83" fillId="0" borderId="10" xfId="45" applyFont="1" applyFill="1" applyBorder="1" applyAlignment="1">
      <alignment horizontal="center" vertical="center"/>
    </xf>
    <xf numFmtId="0" fontId="83" fillId="0" borderId="12" xfId="45" applyFont="1" applyFill="1" applyBorder="1" applyAlignment="1">
      <alignment horizontal="center" vertical="center"/>
    </xf>
    <xf numFmtId="0" fontId="83" fillId="0" borderId="43" xfId="45" applyFont="1" applyFill="1" applyBorder="1" applyAlignment="1">
      <alignment horizontal="center" vertical="center" wrapText="1"/>
    </xf>
    <xf numFmtId="0" fontId="83" fillId="0" borderId="46" xfId="45" applyFont="1" applyFill="1" applyBorder="1" applyAlignment="1">
      <alignment horizontal="center" vertical="center" wrapText="1"/>
    </xf>
    <xf numFmtId="0" fontId="83" fillId="0" borderId="69" xfId="45" applyFont="1" applyFill="1" applyBorder="1" applyAlignment="1">
      <alignment horizontal="center" vertical="center" wrapText="1"/>
    </xf>
    <xf numFmtId="0" fontId="83" fillId="0" borderId="38" xfId="45" applyFont="1" applyFill="1" applyBorder="1" applyAlignment="1">
      <alignment horizontal="center" vertical="center" wrapText="1"/>
    </xf>
    <xf numFmtId="0" fontId="83" fillId="0" borderId="21" xfId="45" applyFont="1" applyFill="1" applyBorder="1" applyAlignment="1">
      <alignment horizontal="center" vertical="center" wrapText="1"/>
    </xf>
    <xf numFmtId="0" fontId="83" fillId="0" borderId="66" xfId="45" applyFont="1" applyFill="1" applyBorder="1" applyAlignment="1">
      <alignment horizontal="center" vertical="center" wrapText="1"/>
    </xf>
    <xf numFmtId="0" fontId="83" fillId="0" borderId="10" xfId="45" applyFont="1" applyFill="1" applyBorder="1" applyAlignment="1">
      <alignment horizontal="center" vertical="center" wrapText="1"/>
    </xf>
    <xf numFmtId="0" fontId="83" fillId="0" borderId="31" xfId="45" applyFont="1" applyFill="1" applyBorder="1" applyAlignment="1">
      <alignment horizontal="center" vertical="center" wrapText="1"/>
    </xf>
    <xf numFmtId="0" fontId="83" fillId="0" borderId="31" xfId="45" applyFont="1" applyFill="1" applyBorder="1" applyAlignment="1">
      <alignment horizontal="center" vertical="center"/>
    </xf>
    <xf numFmtId="0" fontId="82" fillId="0" borderId="0" xfId="44" applyFont="1" applyFill="1" applyBorder="1" applyAlignment="1">
      <alignment horizontal="center"/>
    </xf>
    <xf numFmtId="0" fontId="83" fillId="0" borderId="11" xfId="45" applyFont="1" applyFill="1" applyBorder="1" applyAlignment="1">
      <alignment horizontal="center" vertical="center" wrapText="1"/>
    </xf>
    <xf numFmtId="0" fontId="83" fillId="0" borderId="24" xfId="45" applyFont="1" applyFill="1" applyBorder="1" applyAlignment="1">
      <alignment horizontal="center" vertical="center" wrapText="1"/>
    </xf>
    <xf numFmtId="0" fontId="83" fillId="0" borderId="19" xfId="45" applyFont="1" applyFill="1" applyBorder="1" applyAlignment="1">
      <alignment horizontal="center" vertical="center" wrapText="1"/>
    </xf>
    <xf numFmtId="0" fontId="83" fillId="0" borderId="30" xfId="45" applyFont="1" applyFill="1" applyBorder="1" applyAlignment="1">
      <alignment horizontal="center" vertical="center"/>
    </xf>
    <xf numFmtId="0" fontId="80" fillId="0" borderId="21" xfId="46" applyFont="1" applyFill="1" applyBorder="1" applyAlignment="1">
      <alignment horizontal="center"/>
    </xf>
    <xf numFmtId="0" fontId="73" fillId="0" borderId="0" xfId="0" applyFont="1" applyFill="1" applyAlignment="1">
      <alignment horizontal="center" vertical="center"/>
    </xf>
    <xf numFmtId="0" fontId="74" fillId="0" borderId="0" xfId="55" applyFont="1" applyAlignment="1">
      <alignment horizontal="center"/>
    </xf>
    <xf numFmtId="0" fontId="72" fillId="0" borderId="0" xfId="55" applyFont="1"/>
    <xf numFmtId="0" fontId="102" fillId="0" borderId="10" xfId="0" applyFont="1" applyBorder="1" applyAlignment="1">
      <alignment horizontal="center" vertical="center" wrapText="1"/>
    </xf>
    <xf numFmtId="0" fontId="111" fillId="0" borderId="0" xfId="45" applyFont="1" applyFill="1" applyBorder="1" applyAlignment="1">
      <alignment horizontal="center" vertical="center" wrapText="1"/>
    </xf>
    <xf numFmtId="0" fontId="110" fillId="0" borderId="0" xfId="45" applyFont="1" applyFill="1" applyBorder="1" applyAlignment="1">
      <alignment horizontal="center" vertical="center"/>
    </xf>
    <xf numFmtId="0" fontId="111" fillId="0" borderId="0" xfId="45" applyFont="1" applyFill="1" applyBorder="1" applyAlignment="1">
      <alignment horizontal="center" vertical="center"/>
    </xf>
    <xf numFmtId="0" fontId="102" fillId="0" borderId="12" xfId="46" applyFont="1" applyFill="1" applyBorder="1" applyAlignment="1">
      <alignment horizontal="center" vertical="center"/>
    </xf>
    <xf numFmtId="0" fontId="102" fillId="0" borderId="22" xfId="46" applyFont="1" applyFill="1" applyBorder="1" applyAlignment="1">
      <alignment horizontal="center" vertical="center"/>
    </xf>
    <xf numFmtId="0" fontId="102" fillId="0" borderId="18" xfId="46" applyFont="1" applyFill="1" applyBorder="1" applyAlignment="1">
      <alignment horizontal="center" vertical="center"/>
    </xf>
    <xf numFmtId="0" fontId="111" fillId="0" borderId="10" xfId="45" applyFont="1" applyFill="1" applyBorder="1" applyAlignment="1">
      <alignment horizontal="center" vertical="center"/>
    </xf>
    <xf numFmtId="0" fontId="111" fillId="0" borderId="16" xfId="45" applyFont="1" applyFill="1" applyBorder="1" applyAlignment="1">
      <alignment horizontal="center" vertical="center" wrapText="1"/>
    </xf>
    <xf numFmtId="0" fontId="111" fillId="0" borderId="15" xfId="45" applyFont="1" applyFill="1" applyBorder="1" applyAlignment="1">
      <alignment horizontal="center" vertical="center" wrapText="1"/>
    </xf>
    <xf numFmtId="0" fontId="111" fillId="0" borderId="20" xfId="45" applyFont="1" applyFill="1" applyBorder="1" applyAlignment="1">
      <alignment horizontal="center" vertical="center" wrapText="1"/>
    </xf>
    <xf numFmtId="0" fontId="111" fillId="0" borderId="23" xfId="45" applyFont="1" applyFill="1" applyBorder="1" applyAlignment="1">
      <alignment horizontal="center" vertical="center" wrapText="1"/>
    </xf>
    <xf numFmtId="0" fontId="111" fillId="0" borderId="24" xfId="45" applyFont="1" applyFill="1" applyBorder="1" applyAlignment="1">
      <alignment horizontal="center" vertical="center" wrapText="1"/>
    </xf>
    <xf numFmtId="0" fontId="111" fillId="0" borderId="14" xfId="45" applyFont="1" applyFill="1" applyBorder="1" applyAlignment="1">
      <alignment horizontal="center" vertical="center" wrapText="1"/>
    </xf>
    <xf numFmtId="0" fontId="111" fillId="0" borderId="21" xfId="45" applyFont="1" applyFill="1" applyBorder="1" applyAlignment="1">
      <alignment horizontal="center" vertical="center" wrapText="1"/>
    </xf>
    <xf numFmtId="0" fontId="111" fillId="0" borderId="19" xfId="45" applyFont="1" applyFill="1" applyBorder="1" applyAlignment="1">
      <alignment horizontal="center" vertical="center" wrapText="1"/>
    </xf>
    <xf numFmtId="0" fontId="101" fillId="0" borderId="0" xfId="46" applyFont="1" applyFill="1" applyBorder="1" applyAlignment="1">
      <alignment horizontal="center"/>
    </xf>
    <xf numFmtId="0" fontId="110" fillId="0" borderId="0" xfId="44" applyFont="1" applyFill="1" applyBorder="1" applyAlignment="1">
      <alignment horizontal="center" wrapText="1"/>
    </xf>
    <xf numFmtId="0" fontId="111" fillId="0" borderId="10" xfId="45" applyFont="1" applyFill="1" applyBorder="1" applyAlignment="1">
      <alignment horizontal="center" vertical="center" wrapText="1"/>
    </xf>
    <xf numFmtId="0" fontId="94" fillId="0" borderId="15" xfId="0" applyFont="1" applyBorder="1" applyAlignment="1">
      <alignment horizontal="center"/>
    </xf>
    <xf numFmtId="0" fontId="73" fillId="0" borderId="10" xfId="46" applyFont="1" applyFill="1" applyBorder="1" applyAlignment="1">
      <alignment horizontal="center" vertical="center"/>
    </xf>
    <xf numFmtId="0" fontId="80" fillId="0" borderId="0" xfId="46" applyFont="1" applyFill="1" applyBorder="1" applyAlignment="1">
      <alignment horizontal="center"/>
    </xf>
    <xf numFmtId="0" fontId="73" fillId="0" borderId="10" xfId="46" applyFont="1" applyFill="1" applyBorder="1" applyAlignment="1">
      <alignment horizontal="center"/>
    </xf>
    <xf numFmtId="0" fontId="83" fillId="0" borderId="16" xfId="45" applyFont="1" applyFill="1" applyBorder="1" applyAlignment="1">
      <alignment horizontal="center" vertical="center" wrapText="1"/>
    </xf>
    <xf numFmtId="0" fontId="83" fillId="0" borderId="15" xfId="45" applyFont="1" applyFill="1" applyBorder="1" applyAlignment="1">
      <alignment horizontal="center" vertical="center" wrapText="1"/>
    </xf>
    <xf numFmtId="0" fontId="83" fillId="0" borderId="20" xfId="45" applyFont="1" applyFill="1" applyBorder="1" applyAlignment="1">
      <alignment horizontal="center" vertical="center" wrapText="1"/>
    </xf>
    <xf numFmtId="0" fontId="83" fillId="0" borderId="14" xfId="45" applyFont="1" applyFill="1" applyBorder="1" applyAlignment="1">
      <alignment horizontal="center" vertical="center" wrapText="1"/>
    </xf>
    <xf numFmtId="0" fontId="72" fillId="0" borderId="0" xfId="55" applyFont="1" applyAlignment="1">
      <alignment horizontal="center"/>
    </xf>
    <xf numFmtId="0" fontId="82" fillId="0" borderId="0" xfId="44" applyFont="1" applyFill="1" applyBorder="1" applyAlignment="1">
      <alignment horizontal="center" vertical="center"/>
    </xf>
    <xf numFmtId="0" fontId="73" fillId="0" borderId="0" xfId="0" applyFont="1" applyFill="1" applyAlignment="1">
      <alignment horizontal="center" vertical="top" wrapText="1"/>
    </xf>
    <xf numFmtId="0" fontId="96" fillId="0" borderId="0" xfId="37" applyFont="1" applyFill="1" applyBorder="1" applyAlignment="1">
      <alignment horizontal="center"/>
    </xf>
    <xf numFmtId="0" fontId="97" fillId="0" borderId="0" xfId="44" applyFont="1" applyFill="1" applyBorder="1" applyAlignment="1">
      <alignment horizontal="center"/>
    </xf>
    <xf numFmtId="0" fontId="87" fillId="0" borderId="0" xfId="55" applyFont="1" applyAlignment="1">
      <alignment horizontal="center"/>
    </xf>
    <xf numFmtId="0" fontId="37" fillId="0" borderId="10" xfId="37" applyFont="1" applyFill="1" applyBorder="1" applyAlignment="1">
      <alignment horizontal="center" vertical="center" wrapText="1"/>
    </xf>
    <xf numFmtId="0" fontId="16" fillId="0" borderId="10" xfId="46" applyFont="1" applyBorder="1" applyAlignment="1">
      <alignment horizontal="center" vertical="center" wrapText="1"/>
    </xf>
    <xf numFmtId="0" fontId="50" fillId="0" borderId="12" xfId="37" applyFont="1" applyFill="1" applyBorder="1" applyAlignment="1">
      <alignment horizontal="center" vertical="center" wrapText="1"/>
    </xf>
    <xf numFmtId="0" fontId="50" fillId="0" borderId="22" xfId="37" applyFont="1" applyFill="1" applyBorder="1" applyAlignment="1">
      <alignment horizontal="center" vertical="center" wrapText="1"/>
    </xf>
    <xf numFmtId="0" fontId="50" fillId="0" borderId="18" xfId="37" applyFont="1" applyFill="1" applyBorder="1" applyAlignment="1">
      <alignment horizontal="center" vertical="center" wrapText="1"/>
    </xf>
    <xf numFmtId="0" fontId="16" fillId="0" borderId="11" xfId="46" applyFont="1" applyBorder="1" applyAlignment="1">
      <alignment horizontal="center" vertical="center" wrapText="1"/>
    </xf>
    <xf numFmtId="0" fontId="16" fillId="0" borderId="13" xfId="46" applyFont="1" applyBorder="1" applyAlignment="1">
      <alignment horizontal="center" vertical="center" wrapText="1"/>
    </xf>
    <xf numFmtId="0" fontId="16" fillId="0" borderId="17" xfId="46" applyFont="1" applyBorder="1" applyAlignment="1">
      <alignment horizontal="center" vertical="center" wrapText="1"/>
    </xf>
    <xf numFmtId="0" fontId="50" fillId="0" borderId="10" xfId="37" applyFont="1" applyFill="1" applyBorder="1" applyAlignment="1">
      <alignment horizontal="center" vertical="center" wrapText="1"/>
    </xf>
    <xf numFmtId="0" fontId="50" fillId="0" borderId="11" xfId="37" applyFont="1" applyFill="1" applyBorder="1" applyAlignment="1">
      <alignment horizontal="center" vertical="center" wrapText="1"/>
    </xf>
    <xf numFmtId="0" fontId="50" fillId="0" borderId="17" xfId="37" applyFont="1" applyFill="1" applyBorder="1" applyAlignment="1">
      <alignment horizontal="center" vertical="center" wrapText="1"/>
    </xf>
    <xf numFmtId="0" fontId="50" fillId="0" borderId="13" xfId="37" applyFont="1" applyFill="1" applyBorder="1" applyAlignment="1">
      <alignment horizontal="center" vertical="center" wrapText="1"/>
    </xf>
    <xf numFmtId="0" fontId="37" fillId="0" borderId="10" xfId="37" applyFont="1" applyBorder="1" applyAlignment="1">
      <alignment horizontal="center" vertical="center" wrapText="1"/>
    </xf>
    <xf numFmtId="0" fontId="37" fillId="0" borderId="21" xfId="37" applyFont="1" applyFill="1" applyBorder="1"/>
    <xf numFmtId="0" fontId="37" fillId="0" borderId="12" xfId="37" applyFont="1" applyFill="1" applyBorder="1" applyAlignment="1">
      <alignment horizontal="center" vertical="center" wrapText="1"/>
    </xf>
    <xf numFmtId="0" fontId="37" fillId="0" borderId="22" xfId="37" applyFont="1" applyFill="1" applyBorder="1" applyAlignment="1">
      <alignment horizontal="center" vertical="center" wrapText="1"/>
    </xf>
    <xf numFmtId="0" fontId="37" fillId="0" borderId="18" xfId="37" applyFont="1" applyFill="1" applyBorder="1" applyAlignment="1">
      <alignment horizontal="center" vertical="center" wrapText="1"/>
    </xf>
    <xf numFmtId="0" fontId="37" fillId="0" borderId="11" xfId="37" applyFont="1" applyFill="1" applyBorder="1" applyAlignment="1">
      <alignment horizontal="center" vertical="center" wrapText="1"/>
    </xf>
    <xf numFmtId="0" fontId="37" fillId="0" borderId="17" xfId="37" applyFont="1" applyFill="1" applyBorder="1" applyAlignment="1">
      <alignment horizontal="center" vertical="center" wrapText="1"/>
    </xf>
    <xf numFmtId="0" fontId="37" fillId="0" borderId="13" xfId="37" applyFont="1" applyFill="1" applyBorder="1" applyAlignment="1">
      <alignment horizontal="center" vertical="center" wrapText="1"/>
    </xf>
    <xf numFmtId="0" fontId="37" fillId="0" borderId="10" xfId="37" applyFont="1" applyBorder="1" applyAlignment="1">
      <alignment horizontal="center" vertical="center"/>
    </xf>
    <xf numFmtId="0" fontId="16" fillId="0" borderId="16" xfId="46" applyFont="1" applyFill="1" applyBorder="1" applyAlignment="1">
      <alignment horizontal="center" vertical="center" wrapText="1"/>
    </xf>
    <xf numFmtId="0" fontId="16" fillId="0" borderId="20" xfId="46" applyFont="1" applyFill="1" applyBorder="1" applyAlignment="1">
      <alignment horizontal="center" vertical="center" wrapText="1"/>
    </xf>
    <xf numFmtId="0" fontId="16" fillId="0" borderId="14" xfId="46" applyFont="1" applyFill="1" applyBorder="1" applyAlignment="1">
      <alignment horizontal="center" vertical="center" wrapText="1"/>
    </xf>
    <xf numFmtId="0" fontId="16" fillId="0" borderId="19" xfId="46" applyFont="1" applyFill="1" applyBorder="1" applyAlignment="1">
      <alignment horizontal="center" vertical="center" wrapText="1"/>
    </xf>
    <xf numFmtId="0" fontId="16" fillId="0" borderId="0" xfId="0" applyFont="1" applyFill="1" applyAlignment="1">
      <alignment horizontal="center"/>
    </xf>
    <xf numFmtId="0" fontId="42" fillId="0" borderId="0" xfId="55" applyFont="1" applyAlignment="1">
      <alignment horizontal="center" vertical="center"/>
    </xf>
    <xf numFmtId="0" fontId="42" fillId="0" borderId="0" xfId="55" applyFont="1" applyAlignment="1">
      <alignment horizontal="center" vertical="top"/>
    </xf>
    <xf numFmtId="0" fontId="37" fillId="0" borderId="0" xfId="37" applyFont="1" applyAlignment="1">
      <alignment horizontal="center"/>
    </xf>
    <xf numFmtId="0" fontId="44" fillId="0" borderId="0" xfId="37" applyFont="1" applyAlignment="1">
      <alignment horizontal="center"/>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0" xfId="55" applyFont="1" applyFill="1" applyAlignment="1">
      <alignment horizontal="center" vertical="center"/>
    </xf>
    <xf numFmtId="0" fontId="37" fillId="0" borderId="0" xfId="55" applyFont="1" applyFill="1" applyAlignment="1">
      <alignment horizontal="center" vertical="top"/>
    </xf>
    <xf numFmtId="0" fontId="37" fillId="0" borderId="0" xfId="37" applyFont="1" applyFill="1" applyAlignment="1">
      <alignment horizontal="center"/>
    </xf>
    <xf numFmtId="0" fontId="42" fillId="0" borderId="10" xfId="0" applyFont="1" applyFill="1" applyBorder="1" applyAlignment="1">
      <alignment horizontal="center" vertical="center" wrapText="1"/>
    </xf>
    <xf numFmtId="0" fontId="50" fillId="0" borderId="0" xfId="0" applyFont="1" applyFill="1" applyAlignment="1">
      <alignment horizontal="center"/>
    </xf>
    <xf numFmtId="0" fontId="44" fillId="0" borderId="0" xfId="37" applyFont="1" applyAlignment="1">
      <alignment horizontal="center" wrapText="1"/>
    </xf>
    <xf numFmtId="0" fontId="37" fillId="0" borderId="0" xfId="55" applyFont="1" applyAlignment="1">
      <alignment horizontal="center" vertical="top"/>
    </xf>
    <xf numFmtId="0" fontId="37" fillId="0" borderId="0" xfId="37" applyFont="1" applyFill="1" applyAlignment="1">
      <alignment horizontal="left" vertical="center" wrapText="1"/>
    </xf>
    <xf numFmtId="0" fontId="74" fillId="0" borderId="0" xfId="37" applyFont="1" applyAlignment="1">
      <alignment horizontal="center"/>
    </xf>
    <xf numFmtId="0" fontId="80" fillId="0" borderId="21" xfId="46" applyFont="1" applyBorder="1" applyAlignment="1">
      <alignment horizontal="center" vertical="center"/>
    </xf>
    <xf numFmtId="0" fontId="72" fillId="0" borderId="16" xfId="37" applyFont="1" applyFill="1" applyBorder="1" applyAlignment="1">
      <alignment horizontal="center" vertical="center" wrapText="1"/>
    </xf>
    <xf numFmtId="0" fontId="72" fillId="0" borderId="20" xfId="37" applyFont="1" applyFill="1" applyBorder="1" applyAlignment="1">
      <alignment horizontal="center" vertical="center" wrapText="1"/>
    </xf>
    <xf numFmtId="0" fontId="72" fillId="0" borderId="14" xfId="37" applyFont="1" applyFill="1" applyBorder="1" applyAlignment="1">
      <alignment horizontal="center" vertical="center" wrapText="1"/>
    </xf>
    <xf numFmtId="0" fontId="72" fillId="0" borderId="19" xfId="37" applyFont="1" applyFill="1" applyBorder="1" applyAlignment="1">
      <alignment horizontal="center" vertical="center" wrapText="1"/>
    </xf>
    <xf numFmtId="0" fontId="72" fillId="0" borderId="10" xfId="37" applyFont="1" applyFill="1" applyBorder="1" applyAlignment="1">
      <alignment horizontal="center" vertical="center" wrapText="1"/>
    </xf>
    <xf numFmtId="0" fontId="72" fillId="0" borderId="12" xfId="37" applyFont="1" applyFill="1" applyBorder="1" applyAlignment="1">
      <alignment horizontal="center" vertical="center" wrapText="1"/>
    </xf>
    <xf numFmtId="0" fontId="72" fillId="0" borderId="18" xfId="37" applyFont="1" applyFill="1" applyBorder="1" applyAlignment="1">
      <alignment horizontal="center" vertical="center" wrapText="1"/>
    </xf>
    <xf numFmtId="0" fontId="73" fillId="0" borderId="10" xfId="37" applyFont="1" applyFill="1" applyBorder="1" applyAlignment="1">
      <alignment horizontal="center" vertical="center" wrapText="1"/>
    </xf>
    <xf numFmtId="0" fontId="72" fillId="0" borderId="11" xfId="55" applyFont="1" applyBorder="1" applyAlignment="1">
      <alignment horizontal="center" vertical="center" wrapText="1"/>
    </xf>
    <xf numFmtId="0" fontId="72" fillId="0" borderId="13" xfId="55" applyFont="1" applyBorder="1" applyAlignment="1">
      <alignment horizontal="center" vertical="center" wrapText="1"/>
    </xf>
    <xf numFmtId="0" fontId="73" fillId="0" borderId="11" xfId="46" applyFont="1" applyBorder="1" applyAlignment="1">
      <alignment horizontal="center" vertical="center" wrapText="1"/>
    </xf>
    <xf numFmtId="0" fontId="73" fillId="0" borderId="17" xfId="46" applyFont="1" applyBorder="1" applyAlignment="1">
      <alignment horizontal="center" vertical="center" wrapText="1"/>
    </xf>
    <xf numFmtId="0" fontId="73" fillId="0" borderId="13" xfId="46" applyFont="1" applyBorder="1" applyAlignment="1">
      <alignment horizontal="center" vertical="center" wrapText="1"/>
    </xf>
    <xf numFmtId="0" fontId="72" fillId="0" borderId="11" xfId="37" applyFont="1" applyFill="1" applyBorder="1" applyAlignment="1">
      <alignment horizontal="center" vertical="center" wrapText="1"/>
    </xf>
    <xf numFmtId="0" fontId="72" fillId="0" borderId="17" xfId="37" applyFont="1" applyFill="1" applyBorder="1" applyAlignment="1">
      <alignment horizontal="center" vertical="center" wrapText="1"/>
    </xf>
    <xf numFmtId="0" fontId="72" fillId="0" borderId="13" xfId="37" applyFont="1" applyFill="1" applyBorder="1" applyAlignment="1">
      <alignment horizontal="center" vertical="center" wrapText="1"/>
    </xf>
    <xf numFmtId="0" fontId="72" fillId="0" borderId="10" xfId="37" applyFont="1" applyBorder="1" applyAlignment="1">
      <alignment horizontal="center" vertical="center"/>
    </xf>
    <xf numFmtId="0" fontId="72" fillId="0" borderId="10" xfId="37" applyFont="1" applyBorder="1" applyAlignment="1">
      <alignment horizontal="center" vertical="center" wrapText="1"/>
    </xf>
    <xf numFmtId="0" fontId="70" fillId="0" borderId="0" xfId="55" applyFont="1" applyAlignment="1">
      <alignment horizontal="center" vertical="center"/>
    </xf>
    <xf numFmtId="0" fontId="73" fillId="0" borderId="10" xfId="46" applyFont="1" applyBorder="1" applyAlignment="1">
      <alignment horizontal="center" vertical="center" wrapText="1"/>
    </xf>
    <xf numFmtId="0" fontId="72" fillId="0" borderId="17" xfId="55" applyFont="1" applyBorder="1" applyAlignment="1">
      <alignment horizontal="center" vertical="center" wrapText="1"/>
    </xf>
    <xf numFmtId="0" fontId="73" fillId="0" borderId="0" xfId="0" applyFont="1" applyFill="1" applyAlignment="1">
      <alignment horizontal="left" wrapText="1"/>
    </xf>
    <xf numFmtId="0" fontId="73" fillId="0" borderId="16" xfId="37" applyFont="1" applyFill="1" applyBorder="1" applyAlignment="1">
      <alignment horizontal="center" vertical="center" wrapText="1"/>
    </xf>
    <xf numFmtId="0" fontId="73" fillId="0" borderId="14" xfId="37" applyFont="1" applyFill="1" applyBorder="1" applyAlignment="1">
      <alignment horizontal="center" vertical="center" wrapText="1"/>
    </xf>
    <xf numFmtId="0" fontId="72" fillId="0" borderId="0" xfId="55" applyFont="1" applyFill="1" applyAlignment="1">
      <alignment horizontal="center" vertical="center"/>
    </xf>
    <xf numFmtId="0" fontId="72" fillId="0" borderId="0" xfId="55" applyFont="1" applyFill="1" applyAlignment="1">
      <alignment horizontal="center" vertical="top"/>
    </xf>
    <xf numFmtId="0" fontId="74" fillId="0" borderId="0" xfId="37" applyFont="1" applyFill="1" applyAlignment="1">
      <alignment horizontal="center"/>
    </xf>
    <xf numFmtId="0" fontId="74" fillId="0" borderId="0" xfId="37" applyFont="1" applyFill="1" applyBorder="1" applyAlignment="1">
      <alignment horizontal="center"/>
    </xf>
    <xf numFmtId="0" fontId="73" fillId="0" borderId="15"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45" fillId="0" borderId="21" xfId="37" applyFont="1" applyFill="1" applyBorder="1" applyAlignment="1">
      <alignment horizontal="center"/>
    </xf>
    <xf numFmtId="0" fontId="37" fillId="0" borderId="12" xfId="37" applyFont="1" applyBorder="1" applyAlignment="1">
      <alignment horizontal="center" vertical="center" wrapText="1"/>
    </xf>
    <xf numFmtId="0" fontId="37" fillId="0" borderId="22" xfId="37" applyFont="1" applyBorder="1" applyAlignment="1">
      <alignment horizontal="center" vertical="center" wrapText="1"/>
    </xf>
    <xf numFmtId="0" fontId="37" fillId="0" borderId="18" xfId="37" applyFont="1" applyBorder="1" applyAlignment="1">
      <alignment horizontal="center" vertical="center" wrapText="1"/>
    </xf>
    <xf numFmtId="0" fontId="37" fillId="0" borderId="11" xfId="37" applyFont="1" applyBorder="1" applyAlignment="1">
      <alignment horizontal="center" vertical="center" wrapText="1"/>
    </xf>
    <xf numFmtId="0" fontId="37" fillId="0" borderId="13" xfId="37" applyFont="1" applyBorder="1" applyAlignment="1">
      <alignment horizontal="center" vertical="center" wrapText="1"/>
    </xf>
    <xf numFmtId="0" fontId="16" fillId="0" borderId="0" xfId="37" applyFont="1" applyFill="1" applyAlignment="1">
      <alignment horizontal="center"/>
    </xf>
    <xf numFmtId="0" fontId="17" fillId="0" borderId="0" xfId="37" applyFont="1" applyFill="1" applyAlignment="1">
      <alignment horizontal="center" vertical="center"/>
    </xf>
    <xf numFmtId="0" fontId="16" fillId="0" borderId="0" xfId="37" applyFont="1" applyFill="1" applyAlignment="1">
      <alignment horizontal="center" vertical="center"/>
    </xf>
    <xf numFmtId="0" fontId="37" fillId="0" borderId="10" xfId="55" applyFont="1" applyBorder="1" applyAlignment="1">
      <alignment horizontal="center" vertical="center" wrapText="1"/>
    </xf>
    <xf numFmtId="0" fontId="37" fillId="0" borderId="11" xfId="55" applyFont="1" applyBorder="1" applyAlignment="1">
      <alignment horizontal="center" vertical="center" wrapText="1"/>
    </xf>
    <xf numFmtId="0" fontId="37" fillId="0" borderId="13" xfId="55" applyFont="1" applyBorder="1" applyAlignment="1">
      <alignment horizontal="center" vertical="center" wrapText="1"/>
    </xf>
    <xf numFmtId="0" fontId="50" fillId="0" borderId="10" xfId="46" applyFont="1" applyBorder="1" applyAlignment="1">
      <alignment horizontal="center" vertical="center" wrapText="1"/>
    </xf>
    <xf numFmtId="0" fontId="37" fillId="0" borderId="17" xfId="55" applyFont="1" applyBorder="1" applyAlignment="1">
      <alignment horizontal="center" vertical="center" wrapText="1"/>
    </xf>
    <xf numFmtId="0" fontId="49" fillId="0" borderId="21" xfId="46" applyFont="1" applyBorder="1" applyAlignment="1">
      <alignment horizontal="center" vertical="center"/>
    </xf>
    <xf numFmtId="0" fontId="37" fillId="0" borderId="16" xfId="55" applyFont="1" applyBorder="1" applyAlignment="1">
      <alignment horizontal="center" vertical="center" wrapText="1"/>
    </xf>
    <xf numFmtId="0" fontId="37" fillId="0" borderId="20" xfId="55" applyFont="1" applyBorder="1" applyAlignment="1">
      <alignment horizontal="center" vertical="center" wrapText="1"/>
    </xf>
    <xf numFmtId="0" fontId="37" fillId="0" borderId="23" xfId="55" applyFont="1" applyBorder="1" applyAlignment="1">
      <alignment horizontal="center" vertical="center" wrapText="1"/>
    </xf>
    <xf numFmtId="0" fontId="37" fillId="0" borderId="24" xfId="55" applyFont="1" applyBorder="1" applyAlignment="1">
      <alignment horizontal="center" vertical="center" wrapText="1"/>
    </xf>
    <xf numFmtId="0" fontId="50" fillId="0" borderId="11" xfId="46" applyFont="1" applyBorder="1" applyAlignment="1">
      <alignment horizontal="center" vertical="center" wrapText="1"/>
    </xf>
    <xf numFmtId="0" fontId="50" fillId="0" borderId="17" xfId="46" applyFont="1" applyBorder="1" applyAlignment="1">
      <alignment horizontal="center" vertical="center" wrapText="1"/>
    </xf>
    <xf numFmtId="0" fontId="50" fillId="0" borderId="13" xfId="46" applyFont="1" applyBorder="1" applyAlignment="1">
      <alignment horizontal="center" vertical="center" wrapText="1"/>
    </xf>
    <xf numFmtId="0" fontId="37" fillId="0" borderId="10" xfId="102" applyFont="1" applyFill="1" applyBorder="1" applyAlignment="1">
      <alignment horizontal="center" vertical="center" wrapText="1"/>
    </xf>
    <xf numFmtId="0" fontId="43" fillId="0" borderId="0" xfId="37" applyFont="1" applyAlignment="1">
      <alignment horizontal="center" wrapText="1"/>
    </xf>
    <xf numFmtId="0" fontId="48" fillId="0" borderId="0" xfId="55" applyFont="1" applyAlignment="1">
      <alignment horizontal="center"/>
    </xf>
    <xf numFmtId="0" fontId="40" fillId="0" borderId="10" xfId="45" applyFont="1" applyBorder="1" applyAlignment="1">
      <alignment horizontal="center" vertical="center"/>
    </xf>
    <xf numFmtId="0" fontId="16" fillId="0" borderId="10" xfId="0" applyFont="1" applyBorder="1" applyAlignment="1">
      <alignment horizontal="center" vertical="center" wrapText="1"/>
    </xf>
    <xf numFmtId="0" fontId="39" fillId="0" borderId="0" xfId="44"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Fill="1" applyAlignment="1">
      <alignment horizontal="center" vertical="center"/>
    </xf>
    <xf numFmtId="0" fontId="47" fillId="0" borderId="0" xfId="0" applyFont="1" applyFill="1" applyAlignment="1">
      <alignment horizontal="center"/>
    </xf>
    <xf numFmtId="0" fontId="49" fillId="0" borderId="0" xfId="57" applyFont="1" applyAlignment="1">
      <alignment horizontal="center" vertical="center" wrapText="1"/>
    </xf>
    <xf numFmtId="0" fontId="16" fillId="27" borderId="25" xfId="57" applyFont="1" applyFill="1" applyBorder="1" applyAlignment="1">
      <alignment horizontal="left" vertical="center" wrapText="1"/>
    </xf>
    <xf numFmtId="0" fontId="16" fillId="27" borderId="41" xfId="57" applyFont="1" applyFill="1" applyBorder="1" applyAlignment="1">
      <alignment horizontal="left" vertical="center" wrapText="1"/>
    </xf>
    <xf numFmtId="0" fontId="39" fillId="0" borderId="0" xfId="44" applyFont="1" applyFill="1" applyBorder="1" applyAlignment="1">
      <alignment horizontal="center" wrapText="1"/>
    </xf>
    <xf numFmtId="0" fontId="17" fillId="0" borderId="0" xfId="37" applyFont="1" applyAlignment="1">
      <alignment horizontal="center" wrapText="1"/>
    </xf>
    <xf numFmtId="0" fontId="101" fillId="27" borderId="0" xfId="57" applyFont="1" applyFill="1" applyBorder="1" applyAlignment="1">
      <alignment horizontal="center" vertical="center" wrapText="1"/>
    </xf>
    <xf numFmtId="0" fontId="126" fillId="27" borderId="0" xfId="1812" applyFont="1" applyFill="1" applyAlignment="1">
      <alignment horizontal="center" vertical="center"/>
    </xf>
    <xf numFmtId="0" fontId="123" fillId="27" borderId="0" xfId="1812" applyFont="1" applyFill="1" applyAlignment="1">
      <alignment horizontal="center" vertical="top"/>
    </xf>
    <xf numFmtId="49" fontId="127" fillId="27" borderId="0" xfId="57" applyNumberFormat="1" applyFont="1" applyFill="1" applyAlignment="1">
      <alignment horizontal="center" vertical="center"/>
    </xf>
    <xf numFmtId="0" fontId="128" fillId="27" borderId="0" xfId="57" applyFont="1" applyFill="1" applyAlignment="1">
      <alignment horizontal="center"/>
    </xf>
    <xf numFmtId="49" fontId="129" fillId="27" borderId="35" xfId="57" applyNumberFormat="1" applyFont="1" applyFill="1" applyBorder="1" applyAlignment="1">
      <alignment horizontal="center" vertical="center" wrapText="1"/>
    </xf>
    <xf numFmtId="49" fontId="129" fillId="27" borderId="30" xfId="57" applyNumberFormat="1" applyFont="1" applyFill="1" applyBorder="1" applyAlignment="1">
      <alignment horizontal="center" vertical="center" wrapText="1"/>
    </xf>
    <xf numFmtId="0" fontId="130" fillId="27" borderId="36" xfId="57" applyFont="1" applyFill="1" applyBorder="1" applyAlignment="1">
      <alignment horizontal="center" vertical="center" wrapText="1"/>
    </xf>
    <xf numFmtId="0" fontId="130" fillId="27" borderId="10" xfId="57" applyFont="1" applyFill="1" applyBorder="1" applyAlignment="1">
      <alignment horizontal="center" vertical="center" wrapText="1"/>
    </xf>
    <xf numFmtId="0" fontId="130" fillId="27" borderId="37" xfId="57" applyFont="1" applyFill="1" applyBorder="1" applyAlignment="1">
      <alignment horizontal="center" vertical="center" wrapText="1"/>
    </xf>
    <xf numFmtId="0" fontId="130" fillId="27" borderId="31" xfId="57" applyFont="1" applyFill="1" applyBorder="1" applyAlignment="1">
      <alignment horizontal="center" vertical="center" wrapText="1"/>
    </xf>
    <xf numFmtId="0" fontId="136" fillId="0" borderId="48" xfId="36" applyFont="1" applyFill="1" applyBorder="1" applyAlignment="1">
      <alignment horizontal="center" vertical="center" wrapText="1"/>
    </xf>
    <xf numFmtId="0" fontId="136" fillId="0" borderId="41" xfId="36" applyFont="1" applyFill="1" applyBorder="1" applyAlignment="1">
      <alignment horizontal="center" vertical="center" wrapText="1"/>
    </xf>
    <xf numFmtId="0" fontId="136" fillId="0" borderId="27" xfId="36" applyFont="1" applyFill="1" applyBorder="1" applyAlignment="1">
      <alignment horizontal="center" vertical="center" wrapText="1"/>
    </xf>
    <xf numFmtId="0" fontId="137" fillId="0" borderId="49" xfId="36" applyFont="1" applyFill="1" applyBorder="1" applyAlignment="1">
      <alignment horizontal="center" vertical="top"/>
    </xf>
    <xf numFmtId="0" fontId="137" fillId="0" borderId="50" xfId="36" applyFont="1" applyFill="1" applyBorder="1" applyAlignment="1">
      <alignment horizontal="center" vertical="top"/>
    </xf>
    <xf numFmtId="0" fontId="137" fillId="0" borderId="51" xfId="36" applyFont="1" applyFill="1" applyBorder="1" applyAlignment="1">
      <alignment horizontal="center" vertical="top"/>
    </xf>
    <xf numFmtId="0" fontId="137" fillId="0" borderId="52" xfId="36" applyFont="1" applyFill="1" applyBorder="1" applyAlignment="1">
      <alignment horizontal="center" vertical="top"/>
    </xf>
    <xf numFmtId="0" fontId="132" fillId="0" borderId="53" xfId="36" applyFont="1" applyFill="1" applyBorder="1" applyAlignment="1">
      <alignment horizontal="center"/>
    </xf>
    <xf numFmtId="0" fontId="132" fillId="0" borderId="54" xfId="36" applyFont="1" applyFill="1" applyBorder="1" applyAlignment="1">
      <alignment horizontal="center"/>
    </xf>
    <xf numFmtId="0" fontId="132" fillId="0" borderId="55" xfId="36" applyFont="1" applyFill="1" applyBorder="1" applyAlignment="1">
      <alignment horizontal="center"/>
    </xf>
    <xf numFmtId="0" fontId="135" fillId="0" borderId="15" xfId="36" applyFont="1" applyFill="1" applyBorder="1" applyAlignment="1">
      <alignment horizontal="center" vertical="top"/>
    </xf>
    <xf numFmtId="49" fontId="134" fillId="0" borderId="21" xfId="36" applyNumberFormat="1" applyFont="1" applyFill="1" applyBorder="1" applyAlignment="1">
      <alignment horizontal="center"/>
    </xf>
    <xf numFmtId="0" fontId="135" fillId="0" borderId="0" xfId="36" applyFont="1" applyFill="1" applyBorder="1" applyAlignment="1">
      <alignment horizontal="center" vertical="top"/>
    </xf>
    <xf numFmtId="0" fontId="18" fillId="0" borderId="42" xfId="36" applyFont="1" applyFill="1" applyBorder="1" applyAlignment="1">
      <alignment horizontal="center" vertical="center"/>
    </xf>
    <xf numFmtId="0" fontId="136" fillId="0" borderId="43" xfId="36" applyFont="1" applyFill="1" applyBorder="1" applyAlignment="1">
      <alignment horizontal="center" vertical="center" wrapText="1"/>
    </xf>
    <xf numFmtId="0" fontId="136" fillId="0" borderId="44" xfId="36" applyFont="1" applyFill="1" applyBorder="1" applyAlignment="1">
      <alignment horizontal="center" vertical="center" wrapText="1"/>
    </xf>
    <xf numFmtId="0" fontId="136" fillId="0" borderId="38" xfId="36" applyFont="1" applyFill="1" applyBorder="1" applyAlignment="1">
      <alignment horizontal="center" vertical="center" wrapText="1"/>
    </xf>
    <xf numFmtId="0" fontId="136" fillId="0" borderId="19" xfId="36" applyFont="1" applyFill="1" applyBorder="1" applyAlignment="1">
      <alignment horizontal="center" vertical="center" wrapText="1"/>
    </xf>
    <xf numFmtId="0" fontId="136" fillId="0" borderId="45" xfId="36" applyFont="1" applyFill="1" applyBorder="1" applyAlignment="1">
      <alignment horizontal="center" vertical="center" wrapText="1"/>
    </xf>
    <xf numFmtId="0" fontId="136" fillId="0" borderId="46" xfId="36" applyFont="1" applyFill="1" applyBorder="1" applyAlignment="1">
      <alignment horizontal="center" vertical="center" wrapText="1"/>
    </xf>
    <xf numFmtId="0" fontId="136" fillId="0" borderId="14" xfId="36" applyFont="1" applyFill="1" applyBorder="1" applyAlignment="1">
      <alignment horizontal="center" vertical="center" wrapText="1"/>
    </xf>
    <xf numFmtId="0" fontId="136" fillId="0" borderId="21" xfId="36" applyFont="1" applyFill="1" applyBorder="1" applyAlignment="1">
      <alignment horizontal="center" vertical="center" wrapText="1"/>
    </xf>
    <xf numFmtId="0" fontId="136" fillId="0" borderId="47" xfId="36" applyFont="1" applyFill="1" applyBorder="1" applyAlignment="1">
      <alignment horizontal="center" vertical="center" wrapText="1"/>
    </xf>
    <xf numFmtId="0" fontId="136" fillId="0" borderId="39" xfId="36" applyFont="1" applyFill="1" applyBorder="1" applyAlignment="1">
      <alignment horizontal="center" vertical="center" wrapText="1"/>
    </xf>
    <xf numFmtId="171" fontId="139" fillId="0" borderId="28" xfId="1813" applyNumberFormat="1" applyFont="1" applyFill="1" applyBorder="1" applyAlignment="1">
      <alignment horizontal="center" vertical="center"/>
    </xf>
    <xf numFmtId="171" fontId="139" fillId="0" borderId="22" xfId="1813" applyNumberFormat="1" applyFont="1" applyFill="1" applyBorder="1" applyAlignment="1">
      <alignment horizontal="center" vertical="center"/>
    </xf>
    <xf numFmtId="171" fontId="139" fillId="0" borderId="28" xfId="1813" applyNumberFormat="1" applyFont="1" applyFill="1" applyBorder="1" applyAlignment="1">
      <alignment horizontal="left" vertical="center" wrapText="1" indent="1"/>
    </xf>
    <xf numFmtId="171" fontId="139" fillId="0" borderId="22" xfId="1813" applyNumberFormat="1" applyFont="1" applyFill="1" applyBorder="1" applyAlignment="1">
      <alignment horizontal="left" vertical="center" wrapText="1" indent="1"/>
    </xf>
    <xf numFmtId="171" fontId="139" fillId="28" borderId="25" xfId="1813" applyNumberFormat="1" applyFont="1" applyFill="1" applyBorder="1" applyAlignment="1">
      <alignment horizontal="center" vertical="center"/>
    </xf>
    <xf numFmtId="171" fontId="139" fillId="28" borderId="26" xfId="1813" applyNumberFormat="1" applyFont="1" applyFill="1" applyBorder="1" applyAlignment="1">
      <alignment horizontal="center" vertical="center"/>
    </xf>
    <xf numFmtId="171" fontId="140" fillId="28" borderId="25" xfId="1813" applyNumberFormat="1" applyFont="1" applyFill="1" applyBorder="1" applyAlignment="1">
      <alignment horizontal="left" vertical="center" wrapText="1"/>
    </xf>
    <xf numFmtId="171" fontId="140" fillId="28" borderId="26" xfId="1813" applyNumberFormat="1" applyFont="1" applyFill="1" applyBorder="1" applyAlignment="1">
      <alignment horizontal="left" vertical="center" wrapText="1"/>
    </xf>
    <xf numFmtId="171" fontId="139" fillId="28" borderId="28" xfId="1813" applyNumberFormat="1" applyFont="1" applyFill="1" applyBorder="1" applyAlignment="1">
      <alignment horizontal="center" vertical="center"/>
    </xf>
    <xf numFmtId="171" fontId="139" fillId="28" borderId="22" xfId="1813" applyNumberFormat="1" applyFont="1" applyFill="1" applyBorder="1" applyAlignment="1">
      <alignment horizontal="center" vertical="center"/>
    </xf>
    <xf numFmtId="171" fontId="140" fillId="28" borderId="28" xfId="1813" applyNumberFormat="1" applyFont="1" applyFill="1" applyBorder="1" applyAlignment="1">
      <alignment horizontal="left" vertical="center" wrapText="1"/>
    </xf>
    <xf numFmtId="171" fontId="140" fillId="28" borderId="22" xfId="1813" applyNumberFormat="1" applyFont="1" applyFill="1" applyBorder="1" applyAlignment="1">
      <alignment horizontal="left" vertical="center" wrapText="1"/>
    </xf>
    <xf numFmtId="171" fontId="139" fillId="0" borderId="28" xfId="1813" applyNumberFormat="1" applyFont="1" applyFill="1" applyBorder="1" applyAlignment="1">
      <alignment horizontal="left" vertical="center" wrapText="1" indent="2"/>
    </xf>
    <xf numFmtId="171" fontId="139" fillId="0" borderId="22" xfId="1813" applyNumberFormat="1" applyFont="1" applyFill="1" applyBorder="1" applyAlignment="1">
      <alignment horizontal="left" vertical="center" wrapText="1" indent="2"/>
    </xf>
    <xf numFmtId="171" fontId="140" fillId="0" borderId="28" xfId="1813" applyNumberFormat="1" applyFont="1" applyFill="1" applyBorder="1" applyAlignment="1">
      <alignment horizontal="left" vertical="center" wrapText="1" indent="1"/>
    </xf>
    <xf numFmtId="171" fontId="140" fillId="0" borderId="22" xfId="1813" applyNumberFormat="1" applyFont="1" applyFill="1" applyBorder="1" applyAlignment="1">
      <alignment horizontal="left" vertical="center" wrapText="1" indent="1"/>
    </xf>
    <xf numFmtId="171" fontId="139" fillId="0" borderId="28" xfId="1813" applyNumberFormat="1" applyFont="1" applyFill="1" applyBorder="1" applyAlignment="1">
      <alignment horizontal="left" vertical="center" wrapText="1" indent="3"/>
    </xf>
    <xf numFmtId="171" fontId="139" fillId="0" borderId="22" xfId="1813" applyNumberFormat="1" applyFont="1" applyFill="1" applyBorder="1" applyAlignment="1">
      <alignment horizontal="left" vertical="center" wrapText="1" indent="3"/>
    </xf>
    <xf numFmtId="171" fontId="139" fillId="0" borderId="28" xfId="1813" applyNumberFormat="1" applyFont="1" applyFill="1" applyBorder="1" applyAlignment="1">
      <alignment horizontal="left" vertical="center" wrapText="1" indent="4"/>
    </xf>
    <xf numFmtId="171" fontId="139" fillId="0" borderId="22" xfId="1813" applyNumberFormat="1" applyFont="1" applyFill="1" applyBorder="1" applyAlignment="1">
      <alignment horizontal="left" vertical="center" wrapText="1" indent="4"/>
    </xf>
    <xf numFmtId="171" fontId="141" fillId="0" borderId="28" xfId="1813" applyNumberFormat="1" applyFont="1" applyFill="1" applyBorder="1" applyAlignment="1">
      <alignment horizontal="left" vertical="center" wrapText="1" indent="1"/>
    </xf>
    <xf numFmtId="171" fontId="141" fillId="0" borderId="22" xfId="1813" applyNumberFormat="1" applyFont="1" applyFill="1" applyBorder="1" applyAlignment="1">
      <alignment horizontal="left" vertical="center" wrapText="1" indent="1"/>
    </xf>
    <xf numFmtId="171" fontId="139" fillId="0" borderId="58" xfId="1813" applyNumberFormat="1" applyFont="1" applyFill="1" applyBorder="1" applyAlignment="1">
      <alignment horizontal="center" vertical="center"/>
    </xf>
    <xf numFmtId="171" fontId="139" fillId="0" borderId="15" xfId="1813" applyNumberFormat="1" applyFont="1" applyFill="1" applyBorder="1" applyAlignment="1">
      <alignment horizontal="center" vertical="center"/>
    </xf>
    <xf numFmtId="171" fontId="139" fillId="0" borderId="58" xfId="1813" applyNumberFormat="1" applyFont="1" applyFill="1" applyBorder="1" applyAlignment="1">
      <alignment horizontal="left" vertical="center" wrapText="1" indent="2"/>
    </xf>
    <xf numFmtId="171" fontId="139" fillId="0" borderId="15" xfId="1813" applyNumberFormat="1" applyFont="1" applyFill="1" applyBorder="1" applyAlignment="1">
      <alignment horizontal="left" vertical="center" wrapText="1" indent="2"/>
    </xf>
    <xf numFmtId="171" fontId="139" fillId="0" borderId="49" xfId="1813" applyNumberFormat="1" applyFont="1" applyFill="1" applyBorder="1" applyAlignment="1">
      <alignment horizontal="center" vertical="center"/>
    </xf>
    <xf numFmtId="171" fontId="139" fillId="0" borderId="52" xfId="1813" applyNumberFormat="1" applyFont="1" applyFill="1" applyBorder="1" applyAlignment="1">
      <alignment horizontal="center" vertical="center"/>
    </xf>
    <xf numFmtId="171" fontId="139" fillId="0" borderId="49" xfId="1813" applyNumberFormat="1" applyFont="1" applyFill="1" applyBorder="1" applyAlignment="1">
      <alignment horizontal="left" vertical="center" wrapText="1" indent="2"/>
    </xf>
    <xf numFmtId="171" fontId="139" fillId="0" borderId="52" xfId="1813" applyNumberFormat="1" applyFont="1" applyFill="1" applyBorder="1" applyAlignment="1">
      <alignment horizontal="left" vertical="center" wrapText="1" indent="2"/>
    </xf>
    <xf numFmtId="171" fontId="141" fillId="28" borderId="38" xfId="1813" applyNumberFormat="1" applyFont="1" applyFill="1" applyBorder="1" applyAlignment="1">
      <alignment horizontal="center" vertical="center"/>
    </xf>
    <xf numFmtId="171" fontId="141" fillId="28" borderId="21" xfId="1813" applyNumberFormat="1" applyFont="1" applyFill="1" applyBorder="1" applyAlignment="1">
      <alignment horizontal="center" vertical="center"/>
    </xf>
    <xf numFmtId="171" fontId="140" fillId="28" borderId="38" xfId="1813" applyNumberFormat="1" applyFont="1" applyFill="1" applyBorder="1" applyAlignment="1">
      <alignment horizontal="left" vertical="center" wrapText="1"/>
    </xf>
    <xf numFmtId="171" fontId="140" fillId="28" borderId="21" xfId="1813" applyNumberFormat="1" applyFont="1" applyFill="1" applyBorder="1" applyAlignment="1">
      <alignment horizontal="left" vertical="center" wrapText="1"/>
    </xf>
    <xf numFmtId="171" fontId="139" fillId="0" borderId="25" xfId="1813" applyNumberFormat="1" applyFont="1" applyFill="1" applyBorder="1" applyAlignment="1">
      <alignment horizontal="center" vertical="center"/>
    </xf>
    <xf numFmtId="171" fontId="139" fillId="0" borderId="26" xfId="1813" applyNumberFormat="1" applyFont="1" applyFill="1" applyBorder="1" applyAlignment="1">
      <alignment horizontal="center" vertical="center"/>
    </xf>
    <xf numFmtId="171" fontId="139" fillId="0" borderId="25" xfId="1813" applyNumberFormat="1" applyFont="1" applyFill="1" applyBorder="1" applyAlignment="1">
      <alignment horizontal="left" vertical="center" wrapText="1" indent="1"/>
    </xf>
    <xf numFmtId="171" fontId="139" fillId="0" borderId="26" xfId="1813" applyNumberFormat="1" applyFont="1" applyFill="1" applyBorder="1" applyAlignment="1">
      <alignment horizontal="left" vertical="center" wrapText="1" indent="1"/>
    </xf>
    <xf numFmtId="164" fontId="139" fillId="0" borderId="28" xfId="1814" applyFont="1" applyFill="1" applyBorder="1" applyAlignment="1">
      <alignment horizontal="center" vertical="center"/>
    </xf>
    <xf numFmtId="164" fontId="139" fillId="0" borderId="22" xfId="1814" applyFont="1" applyFill="1" applyBorder="1" applyAlignment="1">
      <alignment horizontal="center" vertical="center"/>
    </xf>
    <xf numFmtId="171" fontId="141" fillId="28" borderId="28" xfId="1813" applyNumberFormat="1" applyFont="1" applyFill="1" applyBorder="1" applyAlignment="1">
      <alignment horizontal="center" vertical="center"/>
    </xf>
    <xf numFmtId="171" fontId="141" fillId="28" borderId="22" xfId="1813" applyNumberFormat="1" applyFont="1" applyFill="1" applyBorder="1" applyAlignment="1">
      <alignment horizontal="center" vertical="center"/>
    </xf>
    <xf numFmtId="171" fontId="140" fillId="28" borderId="28" xfId="1813" applyNumberFormat="1" applyFont="1" applyFill="1" applyBorder="1" applyAlignment="1">
      <alignment horizontal="center" vertical="center"/>
    </xf>
    <xf numFmtId="171" fontId="140" fillId="28" borderId="22" xfId="1813" applyNumberFormat="1" applyFont="1" applyFill="1" applyBorder="1" applyAlignment="1">
      <alignment horizontal="center" vertical="center"/>
    </xf>
    <xf numFmtId="171" fontId="139" fillId="28" borderId="28" xfId="1813" applyNumberFormat="1" applyFont="1" applyFill="1" applyBorder="1" applyAlignment="1">
      <alignment horizontal="left" vertical="center" wrapText="1"/>
    </xf>
    <xf numFmtId="171" fontId="139" fillId="28" borderId="22" xfId="1813" applyNumberFormat="1" applyFont="1" applyFill="1" applyBorder="1" applyAlignment="1">
      <alignment horizontal="left" vertical="center" wrapText="1"/>
    </xf>
    <xf numFmtId="171" fontId="139" fillId="0" borderId="58" xfId="1813" applyNumberFormat="1" applyFont="1" applyFill="1" applyBorder="1" applyAlignment="1">
      <alignment horizontal="left" vertical="center" wrapText="1" indent="1"/>
    </xf>
    <xf numFmtId="171" fontId="139" fillId="0" borderId="15" xfId="1813" applyNumberFormat="1" applyFont="1" applyFill="1" applyBorder="1" applyAlignment="1">
      <alignment horizontal="left" vertical="center" wrapText="1" indent="1"/>
    </xf>
    <xf numFmtId="171" fontId="140" fillId="0" borderId="53" xfId="1813" applyNumberFormat="1" applyFont="1" applyFill="1" applyBorder="1" applyAlignment="1">
      <alignment horizontal="center" vertical="center"/>
    </xf>
    <xf numFmtId="171" fontId="140" fillId="0" borderId="54" xfId="1813" applyNumberFormat="1" applyFont="1" applyFill="1" applyBorder="1" applyAlignment="1">
      <alignment horizontal="center" vertical="center"/>
    </xf>
    <xf numFmtId="171" fontId="140" fillId="0" borderId="53" xfId="1813" applyNumberFormat="1" applyFont="1" applyFill="1" applyBorder="1" applyAlignment="1">
      <alignment horizontal="left" vertical="center" wrapText="1"/>
    </xf>
    <xf numFmtId="171" fontId="140" fillId="0" borderId="54" xfId="1813" applyNumberFormat="1" applyFont="1" applyFill="1" applyBorder="1" applyAlignment="1">
      <alignment horizontal="left" vertical="center" wrapText="1"/>
    </xf>
    <xf numFmtId="171" fontId="139" fillId="0" borderId="38" xfId="1813" applyNumberFormat="1" applyFont="1" applyFill="1" applyBorder="1" applyAlignment="1">
      <alignment horizontal="center" vertical="center"/>
    </xf>
    <xf numFmtId="171" fontId="139" fillId="0" borderId="21" xfId="1813" applyNumberFormat="1" applyFont="1" applyFill="1" applyBorder="1" applyAlignment="1">
      <alignment horizontal="center" vertical="center"/>
    </xf>
    <xf numFmtId="171" fontId="139" fillId="0" borderId="38" xfId="1813" applyNumberFormat="1" applyFont="1" applyFill="1" applyBorder="1" applyAlignment="1">
      <alignment horizontal="left" vertical="center" wrapText="1" indent="1"/>
    </xf>
    <xf numFmtId="171" fontId="139" fillId="0" borderId="21" xfId="1813" applyNumberFormat="1" applyFont="1" applyFill="1" applyBorder="1" applyAlignment="1">
      <alignment horizontal="left" vertical="center" wrapText="1" indent="1"/>
    </xf>
    <xf numFmtId="171" fontId="139" fillId="0" borderId="49" xfId="1813" applyNumberFormat="1" applyFont="1" applyFill="1" applyBorder="1" applyAlignment="1">
      <alignment horizontal="left" vertical="center" wrapText="1" indent="1"/>
    </xf>
    <xf numFmtId="171" fontId="139" fillId="0" borderId="52" xfId="1813" applyNumberFormat="1" applyFont="1" applyFill="1" applyBorder="1" applyAlignment="1">
      <alignment horizontal="left" vertical="center" wrapText="1" indent="1"/>
    </xf>
    <xf numFmtId="171" fontId="132" fillId="0" borderId="53" xfId="1813" applyNumberFormat="1" applyFont="1" applyFill="1" applyBorder="1" applyAlignment="1">
      <alignment horizontal="center"/>
    </xf>
    <xf numFmtId="171" fontId="132" fillId="0" borderId="54" xfId="1813" applyNumberFormat="1" applyFont="1" applyFill="1" applyBorder="1" applyAlignment="1">
      <alignment horizontal="center"/>
    </xf>
    <xf numFmtId="171" fontId="132" fillId="0" borderId="55" xfId="1813" applyNumberFormat="1" applyFont="1" applyFill="1" applyBorder="1" applyAlignment="1">
      <alignment horizontal="center"/>
    </xf>
    <xf numFmtId="171" fontId="140" fillId="28" borderId="25" xfId="1813" applyNumberFormat="1" applyFont="1" applyFill="1" applyBorder="1" applyAlignment="1">
      <alignment horizontal="center" vertical="center"/>
    </xf>
    <xf numFmtId="171" fontId="140" fillId="28" borderId="41" xfId="1813" applyNumberFormat="1" applyFont="1" applyFill="1" applyBorder="1" applyAlignment="1">
      <alignment horizontal="center" vertical="center"/>
    </xf>
    <xf numFmtId="171" fontId="140" fillId="28" borderId="48" xfId="1813" applyNumberFormat="1" applyFont="1" applyFill="1" applyBorder="1" applyAlignment="1">
      <alignment horizontal="left" vertical="center" wrapText="1"/>
    </xf>
    <xf numFmtId="171" fontId="140" fillId="28" borderId="41" xfId="1813" applyNumberFormat="1" applyFont="1" applyFill="1" applyBorder="1" applyAlignment="1">
      <alignment horizontal="left" vertical="center" wrapText="1"/>
    </xf>
    <xf numFmtId="171" fontId="139" fillId="0" borderId="18" xfId="1813" applyNumberFormat="1" applyFont="1" applyFill="1" applyBorder="1" applyAlignment="1">
      <alignment horizontal="center" vertical="center"/>
    </xf>
    <xf numFmtId="171" fontId="139" fillId="0" borderId="12" xfId="1813" applyNumberFormat="1" applyFont="1" applyFill="1" applyBorder="1" applyAlignment="1">
      <alignment horizontal="left" vertical="center" wrapText="1" indent="2"/>
    </xf>
    <xf numFmtId="171" fontId="139" fillId="0" borderId="18" xfId="1813" applyNumberFormat="1" applyFont="1" applyFill="1" applyBorder="1" applyAlignment="1">
      <alignment horizontal="left" vertical="center" wrapText="1" indent="2"/>
    </xf>
    <xf numFmtId="171" fontId="139" fillId="0" borderId="12" xfId="1813" applyNumberFormat="1" applyFont="1" applyFill="1" applyBorder="1" applyAlignment="1">
      <alignment horizontal="left" vertical="center" wrapText="1" indent="1"/>
    </xf>
    <xf numFmtId="171" fontId="139" fillId="0" borderId="18" xfId="1813" applyNumberFormat="1" applyFont="1" applyFill="1" applyBorder="1" applyAlignment="1">
      <alignment horizontal="left" vertical="center" wrapText="1" indent="1"/>
    </xf>
    <xf numFmtId="171" fontId="140" fillId="0" borderId="28" xfId="1813" applyNumberFormat="1" applyFont="1" applyFill="1" applyBorder="1" applyAlignment="1">
      <alignment horizontal="center" vertical="center"/>
    </xf>
    <xf numFmtId="171" fontId="140" fillId="0" borderId="18" xfId="1813" applyNumberFormat="1" applyFont="1" applyFill="1" applyBorder="1" applyAlignment="1">
      <alignment horizontal="center" vertical="center"/>
    </xf>
    <xf numFmtId="171" fontId="140" fillId="0" borderId="12" xfId="1813" applyNumberFormat="1" applyFont="1" applyFill="1" applyBorder="1" applyAlignment="1">
      <alignment horizontal="left" vertical="center" wrapText="1"/>
    </xf>
    <xf numFmtId="171" fontId="140" fillId="0" borderId="22" xfId="1813" applyNumberFormat="1" applyFont="1" applyFill="1" applyBorder="1" applyAlignment="1">
      <alignment horizontal="left" vertical="center" wrapText="1"/>
    </xf>
    <xf numFmtId="171" fontId="140" fillId="0" borderId="18" xfId="1813" applyNumberFormat="1" applyFont="1" applyFill="1" applyBorder="1" applyAlignment="1">
      <alignment horizontal="left" vertical="center" wrapText="1"/>
    </xf>
    <xf numFmtId="171" fontId="139" fillId="0" borderId="12" xfId="1813" applyNumberFormat="1" applyFont="1" applyFill="1" applyBorder="1" applyAlignment="1">
      <alignment horizontal="left" vertical="center" wrapText="1" indent="3"/>
    </xf>
    <xf numFmtId="171" fontId="139" fillId="0" borderId="18" xfId="1813" applyNumberFormat="1" applyFont="1" applyFill="1" applyBorder="1" applyAlignment="1">
      <alignment horizontal="left" vertical="center" wrapText="1" indent="3"/>
    </xf>
    <xf numFmtId="171" fontId="140" fillId="0" borderId="49" xfId="1813" applyNumberFormat="1" applyFont="1" applyFill="1" applyBorder="1" applyAlignment="1">
      <alignment horizontal="center" vertical="center"/>
    </xf>
    <xf numFmtId="171" fontId="140" fillId="0" borderId="50" xfId="1813" applyNumberFormat="1" applyFont="1" applyFill="1" applyBorder="1" applyAlignment="1">
      <alignment horizontal="center" vertical="center"/>
    </xf>
    <xf numFmtId="171" fontId="140" fillId="0" borderId="51" xfId="1813" applyNumberFormat="1" applyFont="1" applyFill="1" applyBorder="1" applyAlignment="1">
      <alignment horizontal="left" vertical="center" wrapText="1"/>
    </xf>
    <xf numFmtId="171" fontId="140" fillId="0" borderId="52" xfId="1813" applyNumberFormat="1" applyFont="1" applyFill="1" applyBorder="1" applyAlignment="1">
      <alignment horizontal="left" vertical="center" wrapText="1"/>
    </xf>
    <xf numFmtId="171" fontId="140" fillId="0" borderId="50" xfId="1813" applyNumberFormat="1" applyFont="1" applyFill="1" applyBorder="1" applyAlignment="1">
      <alignment horizontal="left" vertical="center" wrapText="1"/>
    </xf>
    <xf numFmtId="171" fontId="140" fillId="0" borderId="38" xfId="1813" applyNumberFormat="1" applyFont="1" applyFill="1" applyBorder="1" applyAlignment="1">
      <alignment horizontal="center" vertical="center"/>
    </xf>
    <xf numFmtId="171" fontId="140" fillId="0" borderId="19" xfId="1813" applyNumberFormat="1" applyFont="1" applyFill="1" applyBorder="1" applyAlignment="1">
      <alignment horizontal="center" vertical="center"/>
    </xf>
    <xf numFmtId="171" fontId="140" fillId="0" borderId="14" xfId="1813" applyNumberFormat="1" applyFont="1" applyFill="1" applyBorder="1" applyAlignment="1">
      <alignment horizontal="left" vertical="center" wrapText="1"/>
    </xf>
    <xf numFmtId="171" fontId="140" fillId="0" borderId="21" xfId="1813" applyNumberFormat="1" applyFont="1" applyFill="1" applyBorder="1" applyAlignment="1">
      <alignment horizontal="left" vertical="center" wrapText="1"/>
    </xf>
    <xf numFmtId="171" fontId="140" fillId="0" borderId="19" xfId="1813" applyNumberFormat="1" applyFont="1" applyFill="1" applyBorder="1" applyAlignment="1">
      <alignment horizontal="left" vertical="center" wrapText="1"/>
    </xf>
    <xf numFmtId="171" fontId="139" fillId="0" borderId="12" xfId="1813" applyNumberFormat="1" applyFont="1" applyFill="1" applyBorder="1" applyAlignment="1">
      <alignment horizontal="left" vertical="center" wrapText="1" indent="4"/>
    </xf>
    <xf numFmtId="171" fontId="139" fillId="0" borderId="18" xfId="1813" applyNumberFormat="1" applyFont="1" applyFill="1" applyBorder="1" applyAlignment="1">
      <alignment horizontal="left" vertical="center" wrapText="1" indent="4"/>
    </xf>
    <xf numFmtId="171" fontId="139" fillId="0" borderId="50" xfId="1813" applyNumberFormat="1" applyFont="1" applyFill="1" applyBorder="1" applyAlignment="1">
      <alignment horizontal="center" vertical="center"/>
    </xf>
    <xf numFmtId="171" fontId="139" fillId="0" borderId="51" xfId="1813" applyNumberFormat="1" applyFont="1" applyFill="1" applyBorder="1" applyAlignment="1">
      <alignment horizontal="left" vertical="center" wrapText="1" indent="3"/>
    </xf>
    <xf numFmtId="171" fontId="139" fillId="0" borderId="52" xfId="1813" applyNumberFormat="1" applyFont="1" applyFill="1" applyBorder="1" applyAlignment="1">
      <alignment horizontal="left" vertical="center" wrapText="1" indent="3"/>
    </xf>
    <xf numFmtId="171" fontId="139" fillId="0" borderId="50" xfId="1813" applyNumberFormat="1" applyFont="1" applyFill="1" applyBorder="1" applyAlignment="1">
      <alignment horizontal="left" vertical="center" wrapText="1" indent="3"/>
    </xf>
    <xf numFmtId="171" fontId="139" fillId="0" borderId="48" xfId="1813" applyNumberFormat="1" applyFont="1" applyFill="1" applyBorder="1" applyAlignment="1">
      <alignment horizontal="center" vertical="center" wrapText="1"/>
    </xf>
    <xf numFmtId="171" fontId="139" fillId="0" borderId="41" xfId="1813" applyNumberFormat="1" applyFont="1" applyFill="1" applyBorder="1" applyAlignment="1">
      <alignment horizontal="center" vertical="center" wrapText="1"/>
    </xf>
    <xf numFmtId="171" fontId="139" fillId="0" borderId="27" xfId="1813" applyNumberFormat="1" applyFont="1" applyFill="1" applyBorder="1" applyAlignment="1">
      <alignment horizontal="center" vertical="center" wrapText="1"/>
    </xf>
    <xf numFmtId="171" fontId="143" fillId="0" borderId="49" xfId="1813" applyNumberFormat="1" applyFont="1" applyFill="1" applyBorder="1" applyAlignment="1">
      <alignment horizontal="center" vertical="top"/>
    </xf>
    <xf numFmtId="171" fontId="143" fillId="0" borderId="50" xfId="1813" applyNumberFormat="1" applyFont="1" applyFill="1" applyBorder="1" applyAlignment="1">
      <alignment horizontal="center" vertical="top"/>
    </xf>
    <xf numFmtId="171" fontId="143" fillId="0" borderId="51" xfId="1813" applyNumberFormat="1" applyFont="1" applyFill="1" applyBorder="1" applyAlignment="1">
      <alignment horizontal="center" vertical="top"/>
    </xf>
    <xf numFmtId="171" fontId="143" fillId="0" borderId="52" xfId="1813" applyNumberFormat="1" applyFont="1" applyFill="1" applyBorder="1" applyAlignment="1">
      <alignment horizontal="center" vertical="top"/>
    </xf>
    <xf numFmtId="171" fontId="140" fillId="24" borderId="25" xfId="1813" applyNumberFormat="1" applyFont="1" applyFill="1" applyBorder="1" applyAlignment="1">
      <alignment horizontal="left" vertical="center" wrapText="1"/>
    </xf>
    <xf numFmtId="171" fontId="140" fillId="24" borderId="26" xfId="1813" applyNumberFormat="1" applyFont="1" applyFill="1" applyBorder="1" applyAlignment="1">
      <alignment horizontal="left" vertical="center" wrapText="1"/>
    </xf>
    <xf numFmtId="171" fontId="140" fillId="24" borderId="41" xfId="1813" applyNumberFormat="1" applyFont="1" applyFill="1" applyBorder="1" applyAlignment="1">
      <alignment horizontal="left" vertical="center" wrapText="1"/>
    </xf>
    <xf numFmtId="174" fontId="140" fillId="0" borderId="58" xfId="1813" applyNumberFormat="1" applyFont="1" applyFill="1" applyBorder="1" applyAlignment="1">
      <alignment horizontal="center" vertical="center"/>
    </xf>
    <xf numFmtId="174" fontId="140" fillId="0" borderId="20" xfId="1813" applyNumberFormat="1" applyFont="1" applyFill="1" applyBorder="1" applyAlignment="1">
      <alignment horizontal="center" vertical="center"/>
    </xf>
    <xf numFmtId="174" fontId="140" fillId="0" borderId="16" xfId="1813" applyNumberFormat="1" applyFont="1" applyFill="1" applyBorder="1" applyAlignment="1">
      <alignment horizontal="left" vertical="center" wrapText="1"/>
    </xf>
    <xf numFmtId="174" fontId="140" fillId="0" borderId="15" xfId="1813" applyNumberFormat="1" applyFont="1" applyFill="1" applyBorder="1" applyAlignment="1">
      <alignment horizontal="left" vertical="center" wrapText="1"/>
    </xf>
    <xf numFmtId="174" fontId="140" fillId="0" borderId="20" xfId="1813" applyNumberFormat="1" applyFont="1" applyFill="1" applyBorder="1" applyAlignment="1">
      <alignment horizontal="left" vertical="center" wrapText="1"/>
    </xf>
    <xf numFmtId="174" fontId="18" fillId="0" borderId="53" xfId="1813" applyNumberFormat="1" applyFont="1" applyFill="1" applyBorder="1" applyAlignment="1">
      <alignment horizontal="center" vertical="center"/>
    </xf>
    <xf numFmtId="174" fontId="18" fillId="0" borderId="54" xfId="1813" applyNumberFormat="1" applyFont="1" applyFill="1" applyBorder="1" applyAlignment="1">
      <alignment horizontal="center" vertical="center"/>
    </xf>
    <xf numFmtId="174" fontId="18" fillId="0" borderId="55" xfId="1813" applyNumberFormat="1" applyFont="1" applyFill="1" applyBorder="1" applyAlignment="1">
      <alignment horizontal="center" vertical="center"/>
    </xf>
    <xf numFmtId="171" fontId="139" fillId="0" borderId="43" xfId="1813" applyNumberFormat="1" applyFont="1" applyFill="1" applyBorder="1" applyAlignment="1">
      <alignment horizontal="center" vertical="center" wrapText="1"/>
    </xf>
    <xf numFmtId="171" fontId="139" fillId="0" borderId="44" xfId="1813" applyNumberFormat="1" applyFont="1" applyFill="1" applyBorder="1" applyAlignment="1">
      <alignment horizontal="center" vertical="center" wrapText="1"/>
    </xf>
    <xf numFmtId="171" fontId="139" fillId="0" borderId="38" xfId="1813" applyNumberFormat="1" applyFont="1" applyFill="1" applyBorder="1" applyAlignment="1">
      <alignment horizontal="center" vertical="center" wrapText="1"/>
    </xf>
    <xf numFmtId="171" fontId="139" fillId="0" borderId="19" xfId="1813" applyNumberFormat="1" applyFont="1" applyFill="1" applyBorder="1" applyAlignment="1">
      <alignment horizontal="center" vertical="center" wrapText="1"/>
    </xf>
    <xf numFmtId="171" fontId="139" fillId="0" borderId="45" xfId="1813" applyNumberFormat="1" applyFont="1" applyFill="1" applyBorder="1" applyAlignment="1">
      <alignment horizontal="center" vertical="center" wrapText="1"/>
    </xf>
    <xf numFmtId="171" fontId="139" fillId="0" borderId="46" xfId="1813" applyNumberFormat="1" applyFont="1" applyFill="1" applyBorder="1" applyAlignment="1">
      <alignment horizontal="center" vertical="center" wrapText="1"/>
    </xf>
    <xf numFmtId="171" fontId="139" fillId="0" borderId="14" xfId="1813" applyNumberFormat="1" applyFont="1" applyFill="1" applyBorder="1" applyAlignment="1">
      <alignment horizontal="center" vertical="center" wrapText="1"/>
    </xf>
    <xf numFmtId="171" fontId="139" fillId="0" borderId="21" xfId="1813" applyNumberFormat="1" applyFont="1" applyFill="1" applyBorder="1" applyAlignment="1">
      <alignment horizontal="center" vertical="center" wrapText="1"/>
    </xf>
    <xf numFmtId="171" fontId="139" fillId="0" borderId="47" xfId="1813" applyNumberFormat="1" applyFont="1" applyFill="1" applyBorder="1" applyAlignment="1">
      <alignment horizontal="center" vertical="center" wrapText="1"/>
    </xf>
    <xf numFmtId="171" fontId="139" fillId="0" borderId="39" xfId="1813" applyNumberFormat="1" applyFont="1" applyFill="1" applyBorder="1" applyAlignment="1">
      <alignment horizontal="center" vertical="center" wrapText="1"/>
    </xf>
    <xf numFmtId="171" fontId="139" fillId="0" borderId="25" xfId="1813" applyNumberFormat="1" applyFont="1" applyFill="1" applyBorder="1" applyAlignment="1">
      <alignment horizontal="center" vertical="center" wrapText="1"/>
    </xf>
    <xf numFmtId="171" fontId="139" fillId="0" borderId="12" xfId="1813" applyNumberFormat="1" applyFont="1" applyFill="1" applyBorder="1" applyAlignment="1">
      <alignment horizontal="left" vertical="center" wrapText="1" indent="5"/>
    </xf>
    <xf numFmtId="171" fontId="139" fillId="0" borderId="22" xfId="1813" applyNumberFormat="1" applyFont="1" applyFill="1" applyBorder="1" applyAlignment="1">
      <alignment horizontal="left" vertical="center" wrapText="1" indent="5"/>
    </xf>
    <xf numFmtId="171" fontId="139" fillId="0" borderId="18" xfId="1813" applyNumberFormat="1" applyFont="1" applyFill="1" applyBorder="1" applyAlignment="1">
      <alignment horizontal="left" vertical="center" wrapText="1" indent="5"/>
    </xf>
    <xf numFmtId="3" fontId="139" fillId="0" borderId="28" xfId="36" applyNumberFormat="1" applyFont="1" applyFill="1" applyBorder="1" applyAlignment="1">
      <alignment horizontal="center" vertical="center"/>
    </xf>
    <xf numFmtId="3" fontId="139" fillId="0" borderId="18" xfId="36" applyNumberFormat="1" applyFont="1" applyFill="1" applyBorder="1" applyAlignment="1">
      <alignment horizontal="center" vertical="center"/>
    </xf>
    <xf numFmtId="3" fontId="139" fillId="0" borderId="12" xfId="36" applyNumberFormat="1" applyFont="1" applyFill="1" applyBorder="1" applyAlignment="1">
      <alignment horizontal="left" vertical="center" wrapText="1" indent="2"/>
    </xf>
    <xf numFmtId="3" fontId="139" fillId="0" borderId="22" xfId="36" applyNumberFormat="1" applyFont="1" applyFill="1" applyBorder="1" applyAlignment="1">
      <alignment horizontal="left" vertical="center" wrapText="1" indent="2"/>
    </xf>
    <xf numFmtId="3" fontId="139" fillId="0" borderId="18" xfId="36" applyNumberFormat="1" applyFont="1" applyFill="1" applyBorder="1" applyAlignment="1">
      <alignment horizontal="left" vertical="center" wrapText="1" indent="2"/>
    </xf>
    <xf numFmtId="3" fontId="139" fillId="0" borderId="12" xfId="36" applyNumberFormat="1" applyFont="1" applyFill="1" applyBorder="1" applyAlignment="1">
      <alignment horizontal="left" vertical="center" wrapText="1" indent="3"/>
    </xf>
    <xf numFmtId="3" fontId="139" fillId="0" borderId="22" xfId="36" applyNumberFormat="1" applyFont="1" applyFill="1" applyBorder="1" applyAlignment="1">
      <alignment horizontal="left" vertical="center" wrapText="1" indent="3"/>
    </xf>
    <xf numFmtId="3" fontId="139" fillId="0" borderId="18" xfId="36" applyNumberFormat="1" applyFont="1" applyFill="1" applyBorder="1" applyAlignment="1">
      <alignment horizontal="left" vertical="center" wrapText="1" indent="3"/>
    </xf>
    <xf numFmtId="3" fontId="141" fillId="0" borderId="12" xfId="36" applyNumberFormat="1" applyFont="1" applyFill="1" applyBorder="1" applyAlignment="1">
      <alignment horizontal="left" vertical="center" wrapText="1" indent="1"/>
    </xf>
    <xf numFmtId="3" fontId="141" fillId="0" borderId="22" xfId="36" applyNumberFormat="1" applyFont="1" applyFill="1" applyBorder="1" applyAlignment="1">
      <alignment horizontal="left" vertical="center" wrapText="1" indent="1"/>
    </xf>
    <xf numFmtId="3" fontId="141" fillId="0" borderId="18" xfId="36" applyNumberFormat="1" applyFont="1" applyFill="1" applyBorder="1" applyAlignment="1">
      <alignment horizontal="left" vertical="center" wrapText="1" indent="1"/>
    </xf>
    <xf numFmtId="3" fontId="141" fillId="0" borderId="12" xfId="36" applyNumberFormat="1" applyFont="1" applyFill="1" applyBorder="1" applyAlignment="1">
      <alignment horizontal="left" vertical="center" wrapText="1" indent="2"/>
    </xf>
    <xf numFmtId="3" fontId="141" fillId="0" borderId="22" xfId="36" applyNumberFormat="1" applyFont="1" applyFill="1" applyBorder="1" applyAlignment="1">
      <alignment horizontal="left" vertical="center" wrapText="1" indent="2"/>
    </xf>
    <xf numFmtId="3" fontId="141" fillId="0" borderId="18" xfId="36" applyNumberFormat="1" applyFont="1" applyFill="1" applyBorder="1" applyAlignment="1">
      <alignment horizontal="left" vertical="center" wrapText="1" indent="2"/>
    </xf>
    <xf numFmtId="3" fontId="141" fillId="0" borderId="12" xfId="36" applyNumberFormat="1" applyFont="1" applyFill="1" applyBorder="1" applyAlignment="1">
      <alignment horizontal="left" vertical="center" wrapText="1" indent="3"/>
    </xf>
    <xf numFmtId="3" fontId="141" fillId="0" borderId="22" xfId="36" applyNumberFormat="1" applyFont="1" applyFill="1" applyBorder="1" applyAlignment="1">
      <alignment horizontal="left" vertical="center" wrapText="1" indent="3"/>
    </xf>
    <xf numFmtId="3" fontId="141" fillId="0" borderId="18" xfId="36" applyNumberFormat="1" applyFont="1" applyFill="1" applyBorder="1" applyAlignment="1">
      <alignment horizontal="left" vertical="center" wrapText="1" indent="3"/>
    </xf>
    <xf numFmtId="3" fontId="139" fillId="0" borderId="12" xfId="36" applyNumberFormat="1" applyFont="1" applyFill="1" applyBorder="1" applyAlignment="1">
      <alignment horizontal="left" vertical="center" wrapText="1" indent="4"/>
    </xf>
    <xf numFmtId="3" fontId="139" fillId="0" borderId="22" xfId="36" applyNumberFormat="1" applyFont="1" applyFill="1" applyBorder="1" applyAlignment="1">
      <alignment horizontal="left" vertical="center" wrapText="1" indent="4"/>
    </xf>
    <xf numFmtId="3" fontId="139" fillId="0" borderId="18" xfId="36" applyNumberFormat="1" applyFont="1" applyFill="1" applyBorder="1" applyAlignment="1">
      <alignment horizontal="left" vertical="center" wrapText="1" indent="4"/>
    </xf>
    <xf numFmtId="3" fontId="139" fillId="0" borderId="12" xfId="36" applyNumberFormat="1" applyFont="1" applyFill="1" applyBorder="1" applyAlignment="1">
      <alignment horizontal="left" vertical="center" wrapText="1" indent="1"/>
    </xf>
    <xf numFmtId="3" fontId="139" fillId="0" borderId="22" xfId="36" applyNumberFormat="1" applyFont="1" applyFill="1" applyBorder="1" applyAlignment="1">
      <alignment horizontal="left" vertical="center" wrapText="1" indent="1"/>
    </xf>
    <xf numFmtId="3" fontId="139" fillId="0" borderId="18" xfId="36" applyNumberFormat="1" applyFont="1" applyFill="1" applyBorder="1" applyAlignment="1">
      <alignment horizontal="left" vertical="center" wrapText="1" indent="1"/>
    </xf>
    <xf numFmtId="3" fontId="140" fillId="0" borderId="28" xfId="36" applyNumberFormat="1" applyFont="1" applyFill="1" applyBorder="1" applyAlignment="1">
      <alignment horizontal="center" vertical="center"/>
    </xf>
    <xf numFmtId="3" fontId="140" fillId="0" borderId="18" xfId="36" applyNumberFormat="1" applyFont="1" applyFill="1" applyBorder="1" applyAlignment="1">
      <alignment horizontal="center" vertical="center"/>
    </xf>
    <xf numFmtId="3" fontId="140" fillId="0" borderId="12" xfId="36" applyNumberFormat="1" applyFont="1" applyFill="1" applyBorder="1" applyAlignment="1">
      <alignment horizontal="left" vertical="center" wrapText="1"/>
    </xf>
    <xf numFmtId="3" fontId="140" fillId="0" borderId="22" xfId="36" applyNumberFormat="1" applyFont="1" applyFill="1" applyBorder="1" applyAlignment="1">
      <alignment horizontal="left" vertical="center" wrapText="1"/>
    </xf>
    <xf numFmtId="3" fontId="140" fillId="0" borderId="18" xfId="36" applyNumberFormat="1" applyFont="1" applyFill="1" applyBorder="1" applyAlignment="1">
      <alignment horizontal="left" vertical="center" wrapText="1"/>
    </xf>
    <xf numFmtId="3" fontId="139" fillId="0" borderId="49" xfId="36" applyNumberFormat="1" applyFont="1" applyFill="1" applyBorder="1" applyAlignment="1">
      <alignment horizontal="center" vertical="center"/>
    </xf>
    <xf numFmtId="3" fontId="139" fillId="0" borderId="50" xfId="36" applyNumberFormat="1" applyFont="1" applyFill="1" applyBorder="1" applyAlignment="1">
      <alignment horizontal="center" vertical="center"/>
    </xf>
    <xf numFmtId="3" fontId="139" fillId="0" borderId="51" xfId="36" applyNumberFormat="1" applyFont="1" applyFill="1" applyBorder="1" applyAlignment="1">
      <alignment horizontal="left" vertical="center" wrapText="1" indent="1"/>
    </xf>
    <xf numFmtId="3" fontId="139" fillId="0" borderId="52" xfId="36" applyNumberFormat="1" applyFont="1" applyFill="1" applyBorder="1" applyAlignment="1">
      <alignment horizontal="left" vertical="center" wrapText="1" indent="1"/>
    </xf>
    <xf numFmtId="3" fontId="139" fillId="0" borderId="50" xfId="36" applyNumberFormat="1" applyFont="1" applyFill="1" applyBorder="1" applyAlignment="1">
      <alignment horizontal="left" vertical="center" wrapText="1" indent="1"/>
    </xf>
    <xf numFmtId="3" fontId="140" fillId="0" borderId="38" xfId="36" applyNumberFormat="1" applyFont="1" applyFill="1" applyBorder="1" applyAlignment="1">
      <alignment horizontal="center" vertical="center"/>
    </xf>
    <xf numFmtId="3" fontId="140" fillId="0" borderId="19" xfId="36" applyNumberFormat="1" applyFont="1" applyFill="1" applyBorder="1" applyAlignment="1">
      <alignment horizontal="center" vertical="center"/>
    </xf>
    <xf numFmtId="3" fontId="140" fillId="0" borderId="14" xfId="36" applyNumberFormat="1" applyFont="1" applyFill="1" applyBorder="1" applyAlignment="1">
      <alignment horizontal="left" vertical="center" wrapText="1"/>
    </xf>
    <xf numFmtId="3" fontId="140" fillId="0" borderId="21" xfId="36" applyNumberFormat="1" applyFont="1" applyFill="1" applyBorder="1" applyAlignment="1">
      <alignment horizontal="left" vertical="center" wrapText="1"/>
    </xf>
    <xf numFmtId="3" fontId="140" fillId="0" borderId="19" xfId="36" applyNumberFormat="1" applyFont="1" applyFill="1" applyBorder="1" applyAlignment="1">
      <alignment horizontal="left" vertical="center" wrapText="1"/>
    </xf>
    <xf numFmtId="3" fontId="139" fillId="0" borderId="51" xfId="36" applyNumberFormat="1" applyFont="1" applyFill="1" applyBorder="1" applyAlignment="1">
      <alignment horizontal="left" vertical="center" wrapText="1" indent="2"/>
    </xf>
    <xf numFmtId="3" fontId="139" fillId="0" borderId="52" xfId="36" applyNumberFormat="1" applyFont="1" applyFill="1" applyBorder="1" applyAlignment="1">
      <alignment horizontal="left" vertical="center" wrapText="1" indent="2"/>
    </xf>
    <xf numFmtId="3" fontId="139" fillId="0" borderId="50" xfId="36" applyNumberFormat="1" applyFont="1" applyFill="1" applyBorder="1" applyAlignment="1">
      <alignment horizontal="left" vertical="center" wrapText="1" indent="2"/>
    </xf>
  </cellXfs>
  <cellStyles count="3527">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0" xfId="443"/>
    <cellStyle name="Обычный 10 2" xfId="786"/>
    <cellStyle name="Обычный 10 2 2" xfId="1641"/>
    <cellStyle name="Обычный 10 2 2 2" xfId="3355"/>
    <cellStyle name="Обычный 10 2 3" xfId="2500"/>
    <cellStyle name="Обычный 10 3" xfId="1299"/>
    <cellStyle name="Обычный 10 3 2" xfId="3013"/>
    <cellStyle name="Обычный 10 4" xfId="1812"/>
    <cellStyle name="Обычный 10 4 2" xfId="3526"/>
    <cellStyle name="Обычный 10 5" xfId="2158"/>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10" xfId="272"/>
    <cellStyle name="Обычный 6 10 2" xfId="1128"/>
    <cellStyle name="Обычный 6 10 2 2" xfId="2842"/>
    <cellStyle name="Обычный 6 10 3" xfId="1987"/>
    <cellStyle name="Обычный 6 11" xfId="615"/>
    <cellStyle name="Обычный 6 11 2" xfId="1470"/>
    <cellStyle name="Обычный 6 11 2 2" xfId="3184"/>
    <cellStyle name="Обычный 6 11 3" xfId="2329"/>
    <cellStyle name="Обычный 6 12" xfId="957"/>
    <cellStyle name="Обычный 6 12 2" xfId="2671"/>
    <cellStyle name="Обычный 6 13" xfId="1816"/>
    <cellStyle name="Обычный 6 2" xfId="53"/>
    <cellStyle name="Обычный 6 2 10" xfId="446"/>
    <cellStyle name="Обычный 6 2 10 2" xfId="788"/>
    <cellStyle name="Обычный 6 2 10 2 2" xfId="1643"/>
    <cellStyle name="Обычный 6 2 10 2 2 2" xfId="3357"/>
    <cellStyle name="Обычный 6 2 10 2 3" xfId="2502"/>
    <cellStyle name="Обычный 6 2 10 3" xfId="1301"/>
    <cellStyle name="Обычный 6 2 10 3 2" xfId="3015"/>
    <cellStyle name="Обычный 6 2 10 4" xfId="2160"/>
    <cellStyle name="Обычный 6 2 11" xfId="275"/>
    <cellStyle name="Обычный 6 2 11 2" xfId="1131"/>
    <cellStyle name="Обычный 6 2 11 2 2" xfId="2845"/>
    <cellStyle name="Обычный 6 2 11 3" xfId="1990"/>
    <cellStyle name="Обычный 6 2 12" xfId="618"/>
    <cellStyle name="Обычный 6 2 12 2" xfId="1473"/>
    <cellStyle name="Обычный 6 2 12 2 2" xfId="3187"/>
    <cellStyle name="Обычный 6 2 12 3" xfId="2332"/>
    <cellStyle name="Обычный 6 2 13" xfId="960"/>
    <cellStyle name="Обычный 6 2 13 2" xfId="2674"/>
    <cellStyle name="Обычный 6 2 14" xfId="1819"/>
    <cellStyle name="Обычный 6 2 2" xfId="54"/>
    <cellStyle name="Обычный 6 2 2 10" xfId="276"/>
    <cellStyle name="Обычный 6 2 2 10 2" xfId="1132"/>
    <cellStyle name="Обычный 6 2 2 10 2 2" xfId="2846"/>
    <cellStyle name="Обычный 6 2 2 10 3" xfId="1991"/>
    <cellStyle name="Обычный 6 2 2 11" xfId="619"/>
    <cellStyle name="Обычный 6 2 2 11 2" xfId="1474"/>
    <cellStyle name="Обычный 6 2 2 11 2 2" xfId="3188"/>
    <cellStyle name="Обычный 6 2 2 11 3" xfId="2333"/>
    <cellStyle name="Обычный 6 2 2 12" xfId="961"/>
    <cellStyle name="Обычный 6 2 2 12 2" xfId="2675"/>
    <cellStyle name="Обычный 6 2 2 13" xfId="1820"/>
    <cellStyle name="Обычный 6 2 2 2" xfId="110"/>
    <cellStyle name="Обычный 6 2 2 2 10" xfId="1825"/>
    <cellStyle name="Обычный 6 2 2 2 2" xfId="127"/>
    <cellStyle name="Обычный 6 2 2 2 2 2" xfId="131"/>
    <cellStyle name="Обычный 6 2 2 2 2 2 2" xfId="132"/>
    <cellStyle name="Обычный 6 2 2 2 2 2 2 2" xfId="451"/>
    <cellStyle name="Обычный 6 2 2 2 2 2 2 2 2" xfId="793"/>
    <cellStyle name="Обычный 6 2 2 2 2 2 2 2 2 2" xfId="1648"/>
    <cellStyle name="Обычный 6 2 2 2 2 2 2 2 2 2 2" xfId="3362"/>
    <cellStyle name="Обычный 6 2 2 2 2 2 2 2 2 3" xfId="2507"/>
    <cellStyle name="Обычный 6 2 2 2 2 2 2 2 3" xfId="1306"/>
    <cellStyle name="Обычный 6 2 2 2 2 2 2 2 3 2" xfId="3020"/>
    <cellStyle name="Обычный 6 2 2 2 2 2 2 2 4" xfId="2165"/>
    <cellStyle name="Обычный 6 2 2 2 2 2 2 3" xfId="303"/>
    <cellStyle name="Обычный 6 2 2 2 2 2 2 3 2" xfId="1159"/>
    <cellStyle name="Обычный 6 2 2 2 2 2 2 3 2 2" xfId="2873"/>
    <cellStyle name="Обычный 6 2 2 2 2 2 2 3 3" xfId="2018"/>
    <cellStyle name="Обычный 6 2 2 2 2 2 2 4" xfId="646"/>
    <cellStyle name="Обычный 6 2 2 2 2 2 2 4 2" xfId="1501"/>
    <cellStyle name="Обычный 6 2 2 2 2 2 2 4 2 2" xfId="3215"/>
    <cellStyle name="Обычный 6 2 2 2 2 2 2 4 3" xfId="2360"/>
    <cellStyle name="Обычный 6 2 2 2 2 2 2 5" xfId="988"/>
    <cellStyle name="Обычный 6 2 2 2 2 2 2 5 2" xfId="2702"/>
    <cellStyle name="Обычный 6 2 2 2 2 2 2 6" xfId="1847"/>
    <cellStyle name="Обычный 6 2 2 2 2 2 3" xfId="133"/>
    <cellStyle name="Обычный 6 2 2 2 2 2 3 2" xfId="452"/>
    <cellStyle name="Обычный 6 2 2 2 2 2 3 2 2" xfId="794"/>
    <cellStyle name="Обычный 6 2 2 2 2 2 3 2 2 2" xfId="1649"/>
    <cellStyle name="Обычный 6 2 2 2 2 2 3 2 2 2 2" xfId="3363"/>
    <cellStyle name="Обычный 6 2 2 2 2 2 3 2 2 3" xfId="2508"/>
    <cellStyle name="Обычный 6 2 2 2 2 2 3 2 3" xfId="1307"/>
    <cellStyle name="Обычный 6 2 2 2 2 2 3 2 3 2" xfId="3021"/>
    <cellStyle name="Обычный 6 2 2 2 2 2 3 2 4" xfId="2166"/>
    <cellStyle name="Обычный 6 2 2 2 2 2 3 3" xfId="304"/>
    <cellStyle name="Обычный 6 2 2 2 2 2 3 3 2" xfId="1160"/>
    <cellStyle name="Обычный 6 2 2 2 2 2 3 3 2 2" xfId="2874"/>
    <cellStyle name="Обычный 6 2 2 2 2 2 3 3 3" xfId="2019"/>
    <cellStyle name="Обычный 6 2 2 2 2 2 3 4" xfId="647"/>
    <cellStyle name="Обычный 6 2 2 2 2 2 3 4 2" xfId="1502"/>
    <cellStyle name="Обычный 6 2 2 2 2 2 3 4 2 2" xfId="3216"/>
    <cellStyle name="Обычный 6 2 2 2 2 2 3 4 3" xfId="2361"/>
    <cellStyle name="Обычный 6 2 2 2 2 2 3 5" xfId="989"/>
    <cellStyle name="Обычный 6 2 2 2 2 2 3 5 2" xfId="2703"/>
    <cellStyle name="Обычный 6 2 2 2 2 2 3 6" xfId="1848"/>
    <cellStyle name="Обычный 6 2 2 2 2 2 4" xfId="450"/>
    <cellStyle name="Обычный 6 2 2 2 2 2 4 2" xfId="792"/>
    <cellStyle name="Обычный 6 2 2 2 2 2 4 2 2" xfId="1647"/>
    <cellStyle name="Обычный 6 2 2 2 2 2 4 2 2 2" xfId="3361"/>
    <cellStyle name="Обычный 6 2 2 2 2 2 4 2 3" xfId="2506"/>
    <cellStyle name="Обычный 6 2 2 2 2 2 4 3" xfId="1305"/>
    <cellStyle name="Обычный 6 2 2 2 2 2 4 3 2" xfId="3019"/>
    <cellStyle name="Обычный 6 2 2 2 2 2 4 4" xfId="2164"/>
    <cellStyle name="Обычный 6 2 2 2 2 2 5" xfId="302"/>
    <cellStyle name="Обычный 6 2 2 2 2 2 5 2" xfId="1158"/>
    <cellStyle name="Обычный 6 2 2 2 2 2 5 2 2" xfId="2872"/>
    <cellStyle name="Обычный 6 2 2 2 2 2 5 3" xfId="2017"/>
    <cellStyle name="Обычный 6 2 2 2 2 2 6" xfId="645"/>
    <cellStyle name="Обычный 6 2 2 2 2 2 6 2" xfId="1500"/>
    <cellStyle name="Обычный 6 2 2 2 2 2 6 2 2" xfId="3214"/>
    <cellStyle name="Обычный 6 2 2 2 2 2 6 3" xfId="2359"/>
    <cellStyle name="Обычный 6 2 2 2 2 2 7" xfId="987"/>
    <cellStyle name="Обычный 6 2 2 2 2 2 7 2" xfId="2701"/>
    <cellStyle name="Обычный 6 2 2 2 2 2 8" xfId="1846"/>
    <cellStyle name="Обычный 6 2 2 2 2 3" xfId="134"/>
    <cellStyle name="Обычный 6 2 2 2 2 3 2" xfId="453"/>
    <cellStyle name="Обычный 6 2 2 2 2 3 2 2" xfId="795"/>
    <cellStyle name="Обычный 6 2 2 2 2 3 2 2 2" xfId="1650"/>
    <cellStyle name="Обычный 6 2 2 2 2 3 2 2 2 2" xfId="3364"/>
    <cellStyle name="Обычный 6 2 2 2 2 3 2 2 3" xfId="2509"/>
    <cellStyle name="Обычный 6 2 2 2 2 3 2 3" xfId="1308"/>
    <cellStyle name="Обычный 6 2 2 2 2 3 2 3 2" xfId="3022"/>
    <cellStyle name="Обычный 6 2 2 2 2 3 2 4" xfId="2167"/>
    <cellStyle name="Обычный 6 2 2 2 2 3 3" xfId="305"/>
    <cellStyle name="Обычный 6 2 2 2 2 3 3 2" xfId="1161"/>
    <cellStyle name="Обычный 6 2 2 2 2 3 3 2 2" xfId="2875"/>
    <cellStyle name="Обычный 6 2 2 2 2 3 3 3" xfId="2020"/>
    <cellStyle name="Обычный 6 2 2 2 2 3 4" xfId="648"/>
    <cellStyle name="Обычный 6 2 2 2 2 3 4 2" xfId="1503"/>
    <cellStyle name="Обычный 6 2 2 2 2 3 4 2 2" xfId="3217"/>
    <cellStyle name="Обычный 6 2 2 2 2 3 4 3" xfId="2362"/>
    <cellStyle name="Обычный 6 2 2 2 2 3 5" xfId="990"/>
    <cellStyle name="Обычный 6 2 2 2 2 3 5 2" xfId="2704"/>
    <cellStyle name="Обычный 6 2 2 2 2 3 6" xfId="1849"/>
    <cellStyle name="Обычный 6 2 2 2 2 4" xfId="135"/>
    <cellStyle name="Обычный 6 2 2 2 2 4 2" xfId="454"/>
    <cellStyle name="Обычный 6 2 2 2 2 4 2 2" xfId="796"/>
    <cellStyle name="Обычный 6 2 2 2 2 4 2 2 2" xfId="1651"/>
    <cellStyle name="Обычный 6 2 2 2 2 4 2 2 2 2" xfId="3365"/>
    <cellStyle name="Обычный 6 2 2 2 2 4 2 2 3" xfId="2510"/>
    <cellStyle name="Обычный 6 2 2 2 2 4 2 3" xfId="1309"/>
    <cellStyle name="Обычный 6 2 2 2 2 4 2 3 2" xfId="3023"/>
    <cellStyle name="Обычный 6 2 2 2 2 4 2 4" xfId="2168"/>
    <cellStyle name="Обычный 6 2 2 2 2 4 3" xfId="306"/>
    <cellStyle name="Обычный 6 2 2 2 2 4 3 2" xfId="1162"/>
    <cellStyle name="Обычный 6 2 2 2 2 4 3 2 2" xfId="2876"/>
    <cellStyle name="Обычный 6 2 2 2 2 4 3 3" xfId="2021"/>
    <cellStyle name="Обычный 6 2 2 2 2 4 4" xfId="649"/>
    <cellStyle name="Обычный 6 2 2 2 2 4 4 2" xfId="1504"/>
    <cellStyle name="Обычный 6 2 2 2 2 4 4 2 2" xfId="3218"/>
    <cellStyle name="Обычный 6 2 2 2 2 4 4 3" xfId="2363"/>
    <cellStyle name="Обычный 6 2 2 2 2 4 5" xfId="991"/>
    <cellStyle name="Обычный 6 2 2 2 2 4 5 2" xfId="2705"/>
    <cellStyle name="Обычный 6 2 2 2 2 4 6" xfId="1850"/>
    <cellStyle name="Обычный 6 2 2 2 2 5" xfId="449"/>
    <cellStyle name="Обычный 6 2 2 2 2 5 2" xfId="791"/>
    <cellStyle name="Обычный 6 2 2 2 2 5 2 2" xfId="1646"/>
    <cellStyle name="Обычный 6 2 2 2 2 5 2 2 2" xfId="3360"/>
    <cellStyle name="Обычный 6 2 2 2 2 5 2 3" xfId="2505"/>
    <cellStyle name="Обычный 6 2 2 2 2 5 3" xfId="1304"/>
    <cellStyle name="Обычный 6 2 2 2 2 5 3 2" xfId="3018"/>
    <cellStyle name="Обычный 6 2 2 2 2 5 4" xfId="2163"/>
    <cellStyle name="Обычный 6 2 2 2 2 6" xfId="298"/>
    <cellStyle name="Обычный 6 2 2 2 2 6 2" xfId="1154"/>
    <cellStyle name="Обычный 6 2 2 2 2 6 2 2" xfId="2868"/>
    <cellStyle name="Обычный 6 2 2 2 2 6 3" xfId="2013"/>
    <cellStyle name="Обычный 6 2 2 2 2 7" xfId="641"/>
    <cellStyle name="Обычный 6 2 2 2 2 7 2" xfId="1496"/>
    <cellStyle name="Обычный 6 2 2 2 2 7 2 2" xfId="3210"/>
    <cellStyle name="Обычный 6 2 2 2 2 7 3" xfId="2355"/>
    <cellStyle name="Обычный 6 2 2 2 2 8" xfId="983"/>
    <cellStyle name="Обычный 6 2 2 2 2 8 2" xfId="2697"/>
    <cellStyle name="Обычный 6 2 2 2 2 9" xfId="1842"/>
    <cellStyle name="Обычный 6 2 2 2 3" xfId="129"/>
    <cellStyle name="Обычный 6 2 2 2 3 2" xfId="136"/>
    <cellStyle name="Обычный 6 2 2 2 3 2 2" xfId="456"/>
    <cellStyle name="Обычный 6 2 2 2 3 2 2 2" xfId="798"/>
    <cellStyle name="Обычный 6 2 2 2 3 2 2 2 2" xfId="1653"/>
    <cellStyle name="Обычный 6 2 2 2 3 2 2 2 2 2" xfId="3367"/>
    <cellStyle name="Обычный 6 2 2 2 3 2 2 2 3" xfId="2512"/>
    <cellStyle name="Обычный 6 2 2 2 3 2 2 3" xfId="1311"/>
    <cellStyle name="Обычный 6 2 2 2 3 2 2 3 2" xfId="3025"/>
    <cellStyle name="Обычный 6 2 2 2 3 2 2 4" xfId="2170"/>
    <cellStyle name="Обычный 6 2 2 2 3 2 3" xfId="307"/>
    <cellStyle name="Обычный 6 2 2 2 3 2 3 2" xfId="1163"/>
    <cellStyle name="Обычный 6 2 2 2 3 2 3 2 2" xfId="2877"/>
    <cellStyle name="Обычный 6 2 2 2 3 2 3 3" xfId="2022"/>
    <cellStyle name="Обычный 6 2 2 2 3 2 4" xfId="650"/>
    <cellStyle name="Обычный 6 2 2 2 3 2 4 2" xfId="1505"/>
    <cellStyle name="Обычный 6 2 2 2 3 2 4 2 2" xfId="3219"/>
    <cellStyle name="Обычный 6 2 2 2 3 2 4 3" xfId="2364"/>
    <cellStyle name="Обычный 6 2 2 2 3 2 5" xfId="992"/>
    <cellStyle name="Обычный 6 2 2 2 3 2 5 2" xfId="2706"/>
    <cellStyle name="Обычный 6 2 2 2 3 2 6" xfId="1851"/>
    <cellStyle name="Обычный 6 2 2 2 3 3" xfId="137"/>
    <cellStyle name="Обычный 6 2 2 2 3 3 2" xfId="457"/>
    <cellStyle name="Обычный 6 2 2 2 3 3 2 2" xfId="799"/>
    <cellStyle name="Обычный 6 2 2 2 3 3 2 2 2" xfId="1654"/>
    <cellStyle name="Обычный 6 2 2 2 3 3 2 2 2 2" xfId="3368"/>
    <cellStyle name="Обычный 6 2 2 2 3 3 2 2 3" xfId="2513"/>
    <cellStyle name="Обычный 6 2 2 2 3 3 2 3" xfId="1312"/>
    <cellStyle name="Обычный 6 2 2 2 3 3 2 3 2" xfId="3026"/>
    <cellStyle name="Обычный 6 2 2 2 3 3 2 4" xfId="2171"/>
    <cellStyle name="Обычный 6 2 2 2 3 3 3" xfId="308"/>
    <cellStyle name="Обычный 6 2 2 2 3 3 3 2" xfId="1164"/>
    <cellStyle name="Обычный 6 2 2 2 3 3 3 2 2" xfId="2878"/>
    <cellStyle name="Обычный 6 2 2 2 3 3 3 3" xfId="2023"/>
    <cellStyle name="Обычный 6 2 2 2 3 3 4" xfId="651"/>
    <cellStyle name="Обычный 6 2 2 2 3 3 4 2" xfId="1506"/>
    <cellStyle name="Обычный 6 2 2 2 3 3 4 2 2" xfId="3220"/>
    <cellStyle name="Обычный 6 2 2 2 3 3 4 3" xfId="2365"/>
    <cellStyle name="Обычный 6 2 2 2 3 3 5" xfId="993"/>
    <cellStyle name="Обычный 6 2 2 2 3 3 5 2" xfId="2707"/>
    <cellStyle name="Обычный 6 2 2 2 3 3 6" xfId="1852"/>
    <cellStyle name="Обычный 6 2 2 2 3 4" xfId="455"/>
    <cellStyle name="Обычный 6 2 2 2 3 4 2" xfId="797"/>
    <cellStyle name="Обычный 6 2 2 2 3 4 2 2" xfId="1652"/>
    <cellStyle name="Обычный 6 2 2 2 3 4 2 2 2" xfId="3366"/>
    <cellStyle name="Обычный 6 2 2 2 3 4 2 3" xfId="2511"/>
    <cellStyle name="Обычный 6 2 2 2 3 4 3" xfId="1310"/>
    <cellStyle name="Обычный 6 2 2 2 3 4 3 2" xfId="3024"/>
    <cellStyle name="Обычный 6 2 2 2 3 4 4" xfId="2169"/>
    <cellStyle name="Обычный 6 2 2 2 3 5" xfId="300"/>
    <cellStyle name="Обычный 6 2 2 2 3 5 2" xfId="1156"/>
    <cellStyle name="Обычный 6 2 2 2 3 5 2 2" xfId="2870"/>
    <cellStyle name="Обычный 6 2 2 2 3 5 3" xfId="2015"/>
    <cellStyle name="Обычный 6 2 2 2 3 6" xfId="643"/>
    <cellStyle name="Обычный 6 2 2 2 3 6 2" xfId="1498"/>
    <cellStyle name="Обычный 6 2 2 2 3 6 2 2" xfId="3212"/>
    <cellStyle name="Обычный 6 2 2 2 3 6 3" xfId="2357"/>
    <cellStyle name="Обычный 6 2 2 2 3 7" xfId="985"/>
    <cellStyle name="Обычный 6 2 2 2 3 7 2" xfId="2699"/>
    <cellStyle name="Обычный 6 2 2 2 3 8" xfId="1844"/>
    <cellStyle name="Обычный 6 2 2 2 4" xfId="138"/>
    <cellStyle name="Обычный 6 2 2 2 4 2" xfId="458"/>
    <cellStyle name="Обычный 6 2 2 2 4 2 2" xfId="800"/>
    <cellStyle name="Обычный 6 2 2 2 4 2 2 2" xfId="1655"/>
    <cellStyle name="Обычный 6 2 2 2 4 2 2 2 2" xfId="3369"/>
    <cellStyle name="Обычный 6 2 2 2 4 2 2 3" xfId="2514"/>
    <cellStyle name="Обычный 6 2 2 2 4 2 3" xfId="1313"/>
    <cellStyle name="Обычный 6 2 2 2 4 2 3 2" xfId="3027"/>
    <cellStyle name="Обычный 6 2 2 2 4 2 4" xfId="2172"/>
    <cellStyle name="Обычный 6 2 2 2 4 3" xfId="309"/>
    <cellStyle name="Обычный 6 2 2 2 4 3 2" xfId="1165"/>
    <cellStyle name="Обычный 6 2 2 2 4 3 2 2" xfId="2879"/>
    <cellStyle name="Обычный 6 2 2 2 4 3 3" xfId="2024"/>
    <cellStyle name="Обычный 6 2 2 2 4 4" xfId="652"/>
    <cellStyle name="Обычный 6 2 2 2 4 4 2" xfId="1507"/>
    <cellStyle name="Обычный 6 2 2 2 4 4 2 2" xfId="3221"/>
    <cellStyle name="Обычный 6 2 2 2 4 4 3" xfId="2366"/>
    <cellStyle name="Обычный 6 2 2 2 4 5" xfId="994"/>
    <cellStyle name="Обычный 6 2 2 2 4 5 2" xfId="2708"/>
    <cellStyle name="Обычный 6 2 2 2 4 6" xfId="1853"/>
    <cellStyle name="Обычный 6 2 2 2 5" xfId="139"/>
    <cellStyle name="Обычный 6 2 2 2 5 2" xfId="459"/>
    <cellStyle name="Обычный 6 2 2 2 5 2 2" xfId="801"/>
    <cellStyle name="Обычный 6 2 2 2 5 2 2 2" xfId="1656"/>
    <cellStyle name="Обычный 6 2 2 2 5 2 2 2 2" xfId="3370"/>
    <cellStyle name="Обычный 6 2 2 2 5 2 2 3" xfId="2515"/>
    <cellStyle name="Обычный 6 2 2 2 5 2 3" xfId="1314"/>
    <cellStyle name="Обычный 6 2 2 2 5 2 3 2" xfId="3028"/>
    <cellStyle name="Обычный 6 2 2 2 5 2 4" xfId="2173"/>
    <cellStyle name="Обычный 6 2 2 2 5 3" xfId="310"/>
    <cellStyle name="Обычный 6 2 2 2 5 3 2" xfId="1166"/>
    <cellStyle name="Обычный 6 2 2 2 5 3 2 2" xfId="2880"/>
    <cellStyle name="Обычный 6 2 2 2 5 3 3" xfId="2025"/>
    <cellStyle name="Обычный 6 2 2 2 5 4" xfId="653"/>
    <cellStyle name="Обычный 6 2 2 2 5 4 2" xfId="1508"/>
    <cellStyle name="Обычный 6 2 2 2 5 4 2 2" xfId="3222"/>
    <cellStyle name="Обычный 6 2 2 2 5 4 3" xfId="2367"/>
    <cellStyle name="Обычный 6 2 2 2 5 5" xfId="995"/>
    <cellStyle name="Обычный 6 2 2 2 5 5 2" xfId="2709"/>
    <cellStyle name="Обычный 6 2 2 2 5 6" xfId="1854"/>
    <cellStyle name="Обычный 6 2 2 2 6" xfId="448"/>
    <cellStyle name="Обычный 6 2 2 2 6 2" xfId="790"/>
    <cellStyle name="Обычный 6 2 2 2 6 2 2" xfId="1645"/>
    <cellStyle name="Обычный 6 2 2 2 6 2 2 2" xfId="3359"/>
    <cellStyle name="Обычный 6 2 2 2 6 2 3" xfId="2504"/>
    <cellStyle name="Обычный 6 2 2 2 6 3" xfId="1303"/>
    <cellStyle name="Обычный 6 2 2 2 6 3 2" xfId="3017"/>
    <cellStyle name="Обычный 6 2 2 2 6 4" xfId="2162"/>
    <cellStyle name="Обычный 6 2 2 2 7" xfId="281"/>
    <cellStyle name="Обычный 6 2 2 2 7 2" xfId="1137"/>
    <cellStyle name="Обычный 6 2 2 2 7 2 2" xfId="2851"/>
    <cellStyle name="Обычный 6 2 2 2 7 3" xfId="1996"/>
    <cellStyle name="Обычный 6 2 2 2 8" xfId="624"/>
    <cellStyle name="Обычный 6 2 2 2 8 2" xfId="1479"/>
    <cellStyle name="Обычный 6 2 2 2 8 2 2" xfId="3193"/>
    <cellStyle name="Обычный 6 2 2 2 8 3" xfId="2338"/>
    <cellStyle name="Обычный 6 2 2 2 9" xfId="966"/>
    <cellStyle name="Обычный 6 2 2 2 9 2" xfId="2680"/>
    <cellStyle name="Обычный 6 2 2 3" xfId="122"/>
    <cellStyle name="Обычный 6 2 2 3 2" xfId="140"/>
    <cellStyle name="Обычный 6 2 2 3 2 2" xfId="141"/>
    <cellStyle name="Обычный 6 2 2 3 2 2 2" xfId="462"/>
    <cellStyle name="Обычный 6 2 2 3 2 2 2 2" xfId="804"/>
    <cellStyle name="Обычный 6 2 2 3 2 2 2 2 2" xfId="1659"/>
    <cellStyle name="Обычный 6 2 2 3 2 2 2 2 2 2" xfId="3373"/>
    <cellStyle name="Обычный 6 2 2 3 2 2 2 2 3" xfId="2518"/>
    <cellStyle name="Обычный 6 2 2 3 2 2 2 3" xfId="1317"/>
    <cellStyle name="Обычный 6 2 2 3 2 2 2 3 2" xfId="3031"/>
    <cellStyle name="Обычный 6 2 2 3 2 2 2 4" xfId="2176"/>
    <cellStyle name="Обычный 6 2 2 3 2 2 3" xfId="312"/>
    <cellStyle name="Обычный 6 2 2 3 2 2 3 2" xfId="1168"/>
    <cellStyle name="Обычный 6 2 2 3 2 2 3 2 2" xfId="2882"/>
    <cellStyle name="Обычный 6 2 2 3 2 2 3 3" xfId="2027"/>
    <cellStyle name="Обычный 6 2 2 3 2 2 4" xfId="655"/>
    <cellStyle name="Обычный 6 2 2 3 2 2 4 2" xfId="1510"/>
    <cellStyle name="Обычный 6 2 2 3 2 2 4 2 2" xfId="3224"/>
    <cellStyle name="Обычный 6 2 2 3 2 2 4 3" xfId="2369"/>
    <cellStyle name="Обычный 6 2 2 3 2 2 5" xfId="997"/>
    <cellStyle name="Обычный 6 2 2 3 2 2 5 2" xfId="2711"/>
    <cellStyle name="Обычный 6 2 2 3 2 2 6" xfId="1856"/>
    <cellStyle name="Обычный 6 2 2 3 2 3" xfId="142"/>
    <cellStyle name="Обычный 6 2 2 3 2 3 2" xfId="463"/>
    <cellStyle name="Обычный 6 2 2 3 2 3 2 2" xfId="805"/>
    <cellStyle name="Обычный 6 2 2 3 2 3 2 2 2" xfId="1660"/>
    <cellStyle name="Обычный 6 2 2 3 2 3 2 2 2 2" xfId="3374"/>
    <cellStyle name="Обычный 6 2 2 3 2 3 2 2 3" xfId="2519"/>
    <cellStyle name="Обычный 6 2 2 3 2 3 2 3" xfId="1318"/>
    <cellStyle name="Обычный 6 2 2 3 2 3 2 3 2" xfId="3032"/>
    <cellStyle name="Обычный 6 2 2 3 2 3 2 4" xfId="2177"/>
    <cellStyle name="Обычный 6 2 2 3 2 3 3" xfId="313"/>
    <cellStyle name="Обычный 6 2 2 3 2 3 3 2" xfId="1169"/>
    <cellStyle name="Обычный 6 2 2 3 2 3 3 2 2" xfId="2883"/>
    <cellStyle name="Обычный 6 2 2 3 2 3 3 3" xfId="2028"/>
    <cellStyle name="Обычный 6 2 2 3 2 3 4" xfId="656"/>
    <cellStyle name="Обычный 6 2 2 3 2 3 4 2" xfId="1511"/>
    <cellStyle name="Обычный 6 2 2 3 2 3 4 2 2" xfId="3225"/>
    <cellStyle name="Обычный 6 2 2 3 2 3 4 3" xfId="2370"/>
    <cellStyle name="Обычный 6 2 2 3 2 3 5" xfId="998"/>
    <cellStyle name="Обычный 6 2 2 3 2 3 5 2" xfId="2712"/>
    <cellStyle name="Обычный 6 2 2 3 2 3 6" xfId="1857"/>
    <cellStyle name="Обычный 6 2 2 3 2 4" xfId="461"/>
    <cellStyle name="Обычный 6 2 2 3 2 4 2" xfId="803"/>
    <cellStyle name="Обычный 6 2 2 3 2 4 2 2" xfId="1658"/>
    <cellStyle name="Обычный 6 2 2 3 2 4 2 2 2" xfId="3372"/>
    <cellStyle name="Обычный 6 2 2 3 2 4 2 3" xfId="2517"/>
    <cellStyle name="Обычный 6 2 2 3 2 4 3" xfId="1316"/>
    <cellStyle name="Обычный 6 2 2 3 2 4 3 2" xfId="3030"/>
    <cellStyle name="Обычный 6 2 2 3 2 4 4" xfId="2175"/>
    <cellStyle name="Обычный 6 2 2 3 2 5" xfId="311"/>
    <cellStyle name="Обычный 6 2 2 3 2 5 2" xfId="1167"/>
    <cellStyle name="Обычный 6 2 2 3 2 5 2 2" xfId="2881"/>
    <cellStyle name="Обычный 6 2 2 3 2 5 3" xfId="2026"/>
    <cellStyle name="Обычный 6 2 2 3 2 6" xfId="654"/>
    <cellStyle name="Обычный 6 2 2 3 2 6 2" xfId="1509"/>
    <cellStyle name="Обычный 6 2 2 3 2 6 2 2" xfId="3223"/>
    <cellStyle name="Обычный 6 2 2 3 2 6 3" xfId="2368"/>
    <cellStyle name="Обычный 6 2 2 3 2 7" xfId="996"/>
    <cellStyle name="Обычный 6 2 2 3 2 7 2" xfId="2710"/>
    <cellStyle name="Обычный 6 2 2 3 2 8" xfId="1855"/>
    <cellStyle name="Обычный 6 2 2 3 3" xfId="143"/>
    <cellStyle name="Обычный 6 2 2 3 3 2" xfId="464"/>
    <cellStyle name="Обычный 6 2 2 3 3 2 2" xfId="806"/>
    <cellStyle name="Обычный 6 2 2 3 3 2 2 2" xfId="1661"/>
    <cellStyle name="Обычный 6 2 2 3 3 2 2 2 2" xfId="3375"/>
    <cellStyle name="Обычный 6 2 2 3 3 2 2 3" xfId="2520"/>
    <cellStyle name="Обычный 6 2 2 3 3 2 3" xfId="1319"/>
    <cellStyle name="Обычный 6 2 2 3 3 2 3 2" xfId="3033"/>
    <cellStyle name="Обычный 6 2 2 3 3 2 4" xfId="2178"/>
    <cellStyle name="Обычный 6 2 2 3 3 3" xfId="314"/>
    <cellStyle name="Обычный 6 2 2 3 3 3 2" xfId="1170"/>
    <cellStyle name="Обычный 6 2 2 3 3 3 2 2" xfId="2884"/>
    <cellStyle name="Обычный 6 2 2 3 3 3 3" xfId="2029"/>
    <cellStyle name="Обычный 6 2 2 3 3 4" xfId="657"/>
    <cellStyle name="Обычный 6 2 2 3 3 4 2" xfId="1512"/>
    <cellStyle name="Обычный 6 2 2 3 3 4 2 2" xfId="3226"/>
    <cellStyle name="Обычный 6 2 2 3 3 4 3" xfId="2371"/>
    <cellStyle name="Обычный 6 2 2 3 3 5" xfId="999"/>
    <cellStyle name="Обычный 6 2 2 3 3 5 2" xfId="2713"/>
    <cellStyle name="Обычный 6 2 2 3 3 6" xfId="1858"/>
    <cellStyle name="Обычный 6 2 2 3 4" xfId="144"/>
    <cellStyle name="Обычный 6 2 2 3 4 2" xfId="465"/>
    <cellStyle name="Обычный 6 2 2 3 4 2 2" xfId="807"/>
    <cellStyle name="Обычный 6 2 2 3 4 2 2 2" xfId="1662"/>
    <cellStyle name="Обычный 6 2 2 3 4 2 2 2 2" xfId="3376"/>
    <cellStyle name="Обычный 6 2 2 3 4 2 2 3" xfId="2521"/>
    <cellStyle name="Обычный 6 2 2 3 4 2 3" xfId="1320"/>
    <cellStyle name="Обычный 6 2 2 3 4 2 3 2" xfId="3034"/>
    <cellStyle name="Обычный 6 2 2 3 4 2 4" xfId="2179"/>
    <cellStyle name="Обычный 6 2 2 3 4 3" xfId="315"/>
    <cellStyle name="Обычный 6 2 2 3 4 3 2" xfId="1171"/>
    <cellStyle name="Обычный 6 2 2 3 4 3 2 2" xfId="2885"/>
    <cellStyle name="Обычный 6 2 2 3 4 3 3" xfId="2030"/>
    <cellStyle name="Обычный 6 2 2 3 4 4" xfId="658"/>
    <cellStyle name="Обычный 6 2 2 3 4 4 2" xfId="1513"/>
    <cellStyle name="Обычный 6 2 2 3 4 4 2 2" xfId="3227"/>
    <cellStyle name="Обычный 6 2 2 3 4 4 3" xfId="2372"/>
    <cellStyle name="Обычный 6 2 2 3 4 5" xfId="1000"/>
    <cellStyle name="Обычный 6 2 2 3 4 5 2" xfId="2714"/>
    <cellStyle name="Обычный 6 2 2 3 4 6" xfId="1859"/>
    <cellStyle name="Обычный 6 2 2 3 5" xfId="460"/>
    <cellStyle name="Обычный 6 2 2 3 5 2" xfId="802"/>
    <cellStyle name="Обычный 6 2 2 3 5 2 2" xfId="1657"/>
    <cellStyle name="Обычный 6 2 2 3 5 2 2 2" xfId="3371"/>
    <cellStyle name="Обычный 6 2 2 3 5 2 3" xfId="2516"/>
    <cellStyle name="Обычный 6 2 2 3 5 3" xfId="1315"/>
    <cellStyle name="Обычный 6 2 2 3 5 3 2" xfId="3029"/>
    <cellStyle name="Обычный 6 2 2 3 5 4" xfId="2174"/>
    <cellStyle name="Обычный 6 2 2 3 6" xfId="293"/>
    <cellStyle name="Обычный 6 2 2 3 6 2" xfId="1149"/>
    <cellStyle name="Обычный 6 2 2 3 6 2 2" xfId="2863"/>
    <cellStyle name="Обычный 6 2 2 3 6 3" xfId="2008"/>
    <cellStyle name="Обычный 6 2 2 3 7" xfId="636"/>
    <cellStyle name="Обычный 6 2 2 3 7 2" xfId="1491"/>
    <cellStyle name="Обычный 6 2 2 3 7 2 2" xfId="3205"/>
    <cellStyle name="Обычный 6 2 2 3 7 3" xfId="2350"/>
    <cellStyle name="Обычный 6 2 2 3 8" xfId="978"/>
    <cellStyle name="Обычный 6 2 2 3 8 2" xfId="2692"/>
    <cellStyle name="Обычный 6 2 2 3 9" xfId="1837"/>
    <cellStyle name="Обычный 6 2 2 4" xfId="115"/>
    <cellStyle name="Обычный 6 2 2 4 2" xfId="145"/>
    <cellStyle name="Обычный 6 2 2 4 2 2" xfId="146"/>
    <cellStyle name="Обычный 6 2 2 4 2 2 2" xfId="468"/>
    <cellStyle name="Обычный 6 2 2 4 2 2 2 2" xfId="810"/>
    <cellStyle name="Обычный 6 2 2 4 2 2 2 2 2" xfId="1665"/>
    <cellStyle name="Обычный 6 2 2 4 2 2 2 2 2 2" xfId="3379"/>
    <cellStyle name="Обычный 6 2 2 4 2 2 2 2 3" xfId="2524"/>
    <cellStyle name="Обычный 6 2 2 4 2 2 2 3" xfId="1323"/>
    <cellStyle name="Обычный 6 2 2 4 2 2 2 3 2" xfId="3037"/>
    <cellStyle name="Обычный 6 2 2 4 2 2 2 4" xfId="2182"/>
    <cellStyle name="Обычный 6 2 2 4 2 2 3" xfId="317"/>
    <cellStyle name="Обычный 6 2 2 4 2 2 3 2" xfId="1173"/>
    <cellStyle name="Обычный 6 2 2 4 2 2 3 2 2" xfId="2887"/>
    <cellStyle name="Обычный 6 2 2 4 2 2 3 3" xfId="2032"/>
    <cellStyle name="Обычный 6 2 2 4 2 2 4" xfId="660"/>
    <cellStyle name="Обычный 6 2 2 4 2 2 4 2" xfId="1515"/>
    <cellStyle name="Обычный 6 2 2 4 2 2 4 2 2" xfId="3229"/>
    <cellStyle name="Обычный 6 2 2 4 2 2 4 3" xfId="2374"/>
    <cellStyle name="Обычный 6 2 2 4 2 2 5" xfId="1002"/>
    <cellStyle name="Обычный 6 2 2 4 2 2 5 2" xfId="2716"/>
    <cellStyle name="Обычный 6 2 2 4 2 2 6" xfId="1861"/>
    <cellStyle name="Обычный 6 2 2 4 2 3" xfId="147"/>
    <cellStyle name="Обычный 6 2 2 4 2 3 2" xfId="469"/>
    <cellStyle name="Обычный 6 2 2 4 2 3 2 2" xfId="811"/>
    <cellStyle name="Обычный 6 2 2 4 2 3 2 2 2" xfId="1666"/>
    <cellStyle name="Обычный 6 2 2 4 2 3 2 2 2 2" xfId="3380"/>
    <cellStyle name="Обычный 6 2 2 4 2 3 2 2 3" xfId="2525"/>
    <cellStyle name="Обычный 6 2 2 4 2 3 2 3" xfId="1324"/>
    <cellStyle name="Обычный 6 2 2 4 2 3 2 3 2" xfId="3038"/>
    <cellStyle name="Обычный 6 2 2 4 2 3 2 4" xfId="2183"/>
    <cellStyle name="Обычный 6 2 2 4 2 3 3" xfId="318"/>
    <cellStyle name="Обычный 6 2 2 4 2 3 3 2" xfId="1174"/>
    <cellStyle name="Обычный 6 2 2 4 2 3 3 2 2" xfId="2888"/>
    <cellStyle name="Обычный 6 2 2 4 2 3 3 3" xfId="2033"/>
    <cellStyle name="Обычный 6 2 2 4 2 3 4" xfId="661"/>
    <cellStyle name="Обычный 6 2 2 4 2 3 4 2" xfId="1516"/>
    <cellStyle name="Обычный 6 2 2 4 2 3 4 2 2" xfId="3230"/>
    <cellStyle name="Обычный 6 2 2 4 2 3 4 3" xfId="2375"/>
    <cellStyle name="Обычный 6 2 2 4 2 3 5" xfId="1003"/>
    <cellStyle name="Обычный 6 2 2 4 2 3 5 2" xfId="2717"/>
    <cellStyle name="Обычный 6 2 2 4 2 3 6" xfId="1862"/>
    <cellStyle name="Обычный 6 2 2 4 2 4" xfId="467"/>
    <cellStyle name="Обычный 6 2 2 4 2 4 2" xfId="809"/>
    <cellStyle name="Обычный 6 2 2 4 2 4 2 2" xfId="1664"/>
    <cellStyle name="Обычный 6 2 2 4 2 4 2 2 2" xfId="3378"/>
    <cellStyle name="Обычный 6 2 2 4 2 4 2 3" xfId="2523"/>
    <cellStyle name="Обычный 6 2 2 4 2 4 3" xfId="1322"/>
    <cellStyle name="Обычный 6 2 2 4 2 4 3 2" xfId="3036"/>
    <cellStyle name="Обычный 6 2 2 4 2 4 4" xfId="2181"/>
    <cellStyle name="Обычный 6 2 2 4 2 5" xfId="316"/>
    <cellStyle name="Обычный 6 2 2 4 2 5 2" xfId="1172"/>
    <cellStyle name="Обычный 6 2 2 4 2 5 2 2" xfId="2886"/>
    <cellStyle name="Обычный 6 2 2 4 2 5 3" xfId="2031"/>
    <cellStyle name="Обычный 6 2 2 4 2 6" xfId="659"/>
    <cellStyle name="Обычный 6 2 2 4 2 6 2" xfId="1514"/>
    <cellStyle name="Обычный 6 2 2 4 2 6 2 2" xfId="3228"/>
    <cellStyle name="Обычный 6 2 2 4 2 6 3" xfId="2373"/>
    <cellStyle name="Обычный 6 2 2 4 2 7" xfId="1001"/>
    <cellStyle name="Обычный 6 2 2 4 2 7 2" xfId="2715"/>
    <cellStyle name="Обычный 6 2 2 4 2 8" xfId="1860"/>
    <cellStyle name="Обычный 6 2 2 4 3" xfId="148"/>
    <cellStyle name="Обычный 6 2 2 4 3 2" xfId="470"/>
    <cellStyle name="Обычный 6 2 2 4 3 2 2" xfId="812"/>
    <cellStyle name="Обычный 6 2 2 4 3 2 2 2" xfId="1667"/>
    <cellStyle name="Обычный 6 2 2 4 3 2 2 2 2" xfId="3381"/>
    <cellStyle name="Обычный 6 2 2 4 3 2 2 3" xfId="2526"/>
    <cellStyle name="Обычный 6 2 2 4 3 2 3" xfId="1325"/>
    <cellStyle name="Обычный 6 2 2 4 3 2 3 2" xfId="3039"/>
    <cellStyle name="Обычный 6 2 2 4 3 2 4" xfId="2184"/>
    <cellStyle name="Обычный 6 2 2 4 3 3" xfId="319"/>
    <cellStyle name="Обычный 6 2 2 4 3 3 2" xfId="1175"/>
    <cellStyle name="Обычный 6 2 2 4 3 3 2 2" xfId="2889"/>
    <cellStyle name="Обычный 6 2 2 4 3 3 3" xfId="2034"/>
    <cellStyle name="Обычный 6 2 2 4 3 4" xfId="662"/>
    <cellStyle name="Обычный 6 2 2 4 3 4 2" xfId="1517"/>
    <cellStyle name="Обычный 6 2 2 4 3 4 2 2" xfId="3231"/>
    <cellStyle name="Обычный 6 2 2 4 3 4 3" xfId="2376"/>
    <cellStyle name="Обычный 6 2 2 4 3 5" xfId="1004"/>
    <cellStyle name="Обычный 6 2 2 4 3 5 2" xfId="2718"/>
    <cellStyle name="Обычный 6 2 2 4 3 6" xfId="1863"/>
    <cellStyle name="Обычный 6 2 2 4 4" xfId="149"/>
    <cellStyle name="Обычный 6 2 2 4 4 2" xfId="471"/>
    <cellStyle name="Обычный 6 2 2 4 4 2 2" xfId="813"/>
    <cellStyle name="Обычный 6 2 2 4 4 2 2 2" xfId="1668"/>
    <cellStyle name="Обычный 6 2 2 4 4 2 2 2 2" xfId="3382"/>
    <cellStyle name="Обычный 6 2 2 4 4 2 2 3" xfId="2527"/>
    <cellStyle name="Обычный 6 2 2 4 4 2 3" xfId="1326"/>
    <cellStyle name="Обычный 6 2 2 4 4 2 3 2" xfId="3040"/>
    <cellStyle name="Обычный 6 2 2 4 4 2 4" xfId="2185"/>
    <cellStyle name="Обычный 6 2 2 4 4 3" xfId="320"/>
    <cellStyle name="Обычный 6 2 2 4 4 3 2" xfId="1176"/>
    <cellStyle name="Обычный 6 2 2 4 4 3 2 2" xfId="2890"/>
    <cellStyle name="Обычный 6 2 2 4 4 3 3" xfId="2035"/>
    <cellStyle name="Обычный 6 2 2 4 4 4" xfId="663"/>
    <cellStyle name="Обычный 6 2 2 4 4 4 2" xfId="1518"/>
    <cellStyle name="Обычный 6 2 2 4 4 4 2 2" xfId="3232"/>
    <cellStyle name="Обычный 6 2 2 4 4 4 3" xfId="2377"/>
    <cellStyle name="Обычный 6 2 2 4 4 5" xfId="1005"/>
    <cellStyle name="Обычный 6 2 2 4 4 5 2" xfId="2719"/>
    <cellStyle name="Обычный 6 2 2 4 4 6" xfId="1864"/>
    <cellStyle name="Обычный 6 2 2 4 5" xfId="466"/>
    <cellStyle name="Обычный 6 2 2 4 5 2" xfId="808"/>
    <cellStyle name="Обычный 6 2 2 4 5 2 2" xfId="1663"/>
    <cellStyle name="Обычный 6 2 2 4 5 2 2 2" xfId="3377"/>
    <cellStyle name="Обычный 6 2 2 4 5 2 3" xfId="2522"/>
    <cellStyle name="Обычный 6 2 2 4 5 3" xfId="1321"/>
    <cellStyle name="Обычный 6 2 2 4 5 3 2" xfId="3035"/>
    <cellStyle name="Обычный 6 2 2 4 5 4" xfId="2180"/>
    <cellStyle name="Обычный 6 2 2 4 6" xfId="286"/>
    <cellStyle name="Обычный 6 2 2 4 6 2" xfId="1142"/>
    <cellStyle name="Обычный 6 2 2 4 6 2 2" xfId="2856"/>
    <cellStyle name="Обычный 6 2 2 4 6 3" xfId="2001"/>
    <cellStyle name="Обычный 6 2 2 4 7" xfId="629"/>
    <cellStyle name="Обычный 6 2 2 4 7 2" xfId="1484"/>
    <cellStyle name="Обычный 6 2 2 4 7 2 2" xfId="3198"/>
    <cellStyle name="Обычный 6 2 2 4 7 3" xfId="2343"/>
    <cellStyle name="Обычный 6 2 2 4 8" xfId="971"/>
    <cellStyle name="Обычный 6 2 2 4 8 2" xfId="2685"/>
    <cellStyle name="Обычный 6 2 2 4 9" xfId="1830"/>
    <cellStyle name="Обычный 6 2 2 5" xfId="150"/>
    <cellStyle name="Обычный 6 2 2 5 2" xfId="151"/>
    <cellStyle name="Обычный 6 2 2 5 2 2" xfId="473"/>
    <cellStyle name="Обычный 6 2 2 5 2 2 2" xfId="815"/>
    <cellStyle name="Обычный 6 2 2 5 2 2 2 2" xfId="1670"/>
    <cellStyle name="Обычный 6 2 2 5 2 2 2 2 2" xfId="3384"/>
    <cellStyle name="Обычный 6 2 2 5 2 2 2 3" xfId="2529"/>
    <cellStyle name="Обычный 6 2 2 5 2 2 3" xfId="1328"/>
    <cellStyle name="Обычный 6 2 2 5 2 2 3 2" xfId="3042"/>
    <cellStyle name="Обычный 6 2 2 5 2 2 4" xfId="2187"/>
    <cellStyle name="Обычный 6 2 2 5 2 3" xfId="322"/>
    <cellStyle name="Обычный 6 2 2 5 2 3 2" xfId="1178"/>
    <cellStyle name="Обычный 6 2 2 5 2 3 2 2" xfId="2892"/>
    <cellStyle name="Обычный 6 2 2 5 2 3 3" xfId="2037"/>
    <cellStyle name="Обычный 6 2 2 5 2 4" xfId="665"/>
    <cellStyle name="Обычный 6 2 2 5 2 4 2" xfId="1520"/>
    <cellStyle name="Обычный 6 2 2 5 2 4 2 2" xfId="3234"/>
    <cellStyle name="Обычный 6 2 2 5 2 4 3" xfId="2379"/>
    <cellStyle name="Обычный 6 2 2 5 2 5" xfId="1007"/>
    <cellStyle name="Обычный 6 2 2 5 2 5 2" xfId="2721"/>
    <cellStyle name="Обычный 6 2 2 5 2 6" xfId="1866"/>
    <cellStyle name="Обычный 6 2 2 5 3" xfId="152"/>
    <cellStyle name="Обычный 6 2 2 5 3 2" xfId="474"/>
    <cellStyle name="Обычный 6 2 2 5 3 2 2" xfId="816"/>
    <cellStyle name="Обычный 6 2 2 5 3 2 2 2" xfId="1671"/>
    <cellStyle name="Обычный 6 2 2 5 3 2 2 2 2" xfId="3385"/>
    <cellStyle name="Обычный 6 2 2 5 3 2 2 3" xfId="2530"/>
    <cellStyle name="Обычный 6 2 2 5 3 2 3" xfId="1329"/>
    <cellStyle name="Обычный 6 2 2 5 3 2 3 2" xfId="3043"/>
    <cellStyle name="Обычный 6 2 2 5 3 2 4" xfId="2188"/>
    <cellStyle name="Обычный 6 2 2 5 3 3" xfId="323"/>
    <cellStyle name="Обычный 6 2 2 5 3 3 2" xfId="1179"/>
    <cellStyle name="Обычный 6 2 2 5 3 3 2 2" xfId="2893"/>
    <cellStyle name="Обычный 6 2 2 5 3 3 3" xfId="2038"/>
    <cellStyle name="Обычный 6 2 2 5 3 4" xfId="666"/>
    <cellStyle name="Обычный 6 2 2 5 3 4 2" xfId="1521"/>
    <cellStyle name="Обычный 6 2 2 5 3 4 2 2" xfId="3235"/>
    <cellStyle name="Обычный 6 2 2 5 3 4 3" xfId="2380"/>
    <cellStyle name="Обычный 6 2 2 5 3 5" xfId="1008"/>
    <cellStyle name="Обычный 6 2 2 5 3 5 2" xfId="2722"/>
    <cellStyle name="Обычный 6 2 2 5 3 6" xfId="1867"/>
    <cellStyle name="Обычный 6 2 2 5 4" xfId="472"/>
    <cellStyle name="Обычный 6 2 2 5 4 2" xfId="814"/>
    <cellStyle name="Обычный 6 2 2 5 4 2 2" xfId="1669"/>
    <cellStyle name="Обычный 6 2 2 5 4 2 2 2" xfId="3383"/>
    <cellStyle name="Обычный 6 2 2 5 4 2 3" xfId="2528"/>
    <cellStyle name="Обычный 6 2 2 5 4 3" xfId="1327"/>
    <cellStyle name="Обычный 6 2 2 5 4 3 2" xfId="3041"/>
    <cellStyle name="Обычный 6 2 2 5 4 4" xfId="2186"/>
    <cellStyle name="Обычный 6 2 2 5 5" xfId="321"/>
    <cellStyle name="Обычный 6 2 2 5 5 2" xfId="1177"/>
    <cellStyle name="Обычный 6 2 2 5 5 2 2" xfId="2891"/>
    <cellStyle name="Обычный 6 2 2 5 5 3" xfId="2036"/>
    <cellStyle name="Обычный 6 2 2 5 6" xfId="664"/>
    <cellStyle name="Обычный 6 2 2 5 6 2" xfId="1519"/>
    <cellStyle name="Обычный 6 2 2 5 6 2 2" xfId="3233"/>
    <cellStyle name="Обычный 6 2 2 5 6 3" xfId="2378"/>
    <cellStyle name="Обычный 6 2 2 5 7" xfId="1006"/>
    <cellStyle name="Обычный 6 2 2 5 7 2" xfId="2720"/>
    <cellStyle name="Обычный 6 2 2 5 8" xfId="1865"/>
    <cellStyle name="Обычный 6 2 2 6" xfId="153"/>
    <cellStyle name="Обычный 6 2 2 6 2" xfId="475"/>
    <cellStyle name="Обычный 6 2 2 6 2 2" xfId="817"/>
    <cellStyle name="Обычный 6 2 2 6 2 2 2" xfId="1672"/>
    <cellStyle name="Обычный 6 2 2 6 2 2 2 2" xfId="3386"/>
    <cellStyle name="Обычный 6 2 2 6 2 2 3" xfId="2531"/>
    <cellStyle name="Обычный 6 2 2 6 2 3" xfId="1330"/>
    <cellStyle name="Обычный 6 2 2 6 2 3 2" xfId="3044"/>
    <cellStyle name="Обычный 6 2 2 6 2 4" xfId="2189"/>
    <cellStyle name="Обычный 6 2 2 6 3" xfId="324"/>
    <cellStyle name="Обычный 6 2 2 6 3 2" xfId="1180"/>
    <cellStyle name="Обычный 6 2 2 6 3 2 2" xfId="2894"/>
    <cellStyle name="Обычный 6 2 2 6 3 3" xfId="2039"/>
    <cellStyle name="Обычный 6 2 2 6 4" xfId="667"/>
    <cellStyle name="Обычный 6 2 2 6 4 2" xfId="1522"/>
    <cellStyle name="Обычный 6 2 2 6 4 2 2" xfId="3236"/>
    <cellStyle name="Обычный 6 2 2 6 4 3" xfId="2381"/>
    <cellStyle name="Обычный 6 2 2 6 5" xfId="1009"/>
    <cellStyle name="Обычный 6 2 2 6 5 2" xfId="2723"/>
    <cellStyle name="Обычный 6 2 2 6 6" xfId="1868"/>
    <cellStyle name="Обычный 6 2 2 7" xfId="154"/>
    <cellStyle name="Обычный 6 2 2 7 2" xfId="476"/>
    <cellStyle name="Обычный 6 2 2 7 2 2" xfId="818"/>
    <cellStyle name="Обычный 6 2 2 7 2 2 2" xfId="1673"/>
    <cellStyle name="Обычный 6 2 2 7 2 2 2 2" xfId="3387"/>
    <cellStyle name="Обычный 6 2 2 7 2 2 3" xfId="2532"/>
    <cellStyle name="Обычный 6 2 2 7 2 3" xfId="1331"/>
    <cellStyle name="Обычный 6 2 2 7 2 3 2" xfId="3045"/>
    <cellStyle name="Обычный 6 2 2 7 2 4" xfId="2190"/>
    <cellStyle name="Обычный 6 2 2 7 3" xfId="325"/>
    <cellStyle name="Обычный 6 2 2 7 3 2" xfId="1181"/>
    <cellStyle name="Обычный 6 2 2 7 3 2 2" xfId="2895"/>
    <cellStyle name="Обычный 6 2 2 7 3 3" xfId="2040"/>
    <cellStyle name="Обычный 6 2 2 7 4" xfId="668"/>
    <cellStyle name="Обычный 6 2 2 7 4 2" xfId="1523"/>
    <cellStyle name="Обычный 6 2 2 7 4 2 2" xfId="3237"/>
    <cellStyle name="Обычный 6 2 2 7 4 3" xfId="2382"/>
    <cellStyle name="Обычный 6 2 2 7 5" xfId="1010"/>
    <cellStyle name="Обычный 6 2 2 7 5 2" xfId="2724"/>
    <cellStyle name="Обычный 6 2 2 7 6" xfId="1869"/>
    <cellStyle name="Обычный 6 2 2 8" xfId="155"/>
    <cellStyle name="Обычный 6 2 2 8 2" xfId="477"/>
    <cellStyle name="Обычный 6 2 2 8 2 2" xfId="819"/>
    <cellStyle name="Обычный 6 2 2 8 2 2 2" xfId="1674"/>
    <cellStyle name="Обычный 6 2 2 8 2 2 2 2" xfId="3388"/>
    <cellStyle name="Обычный 6 2 2 8 2 2 3" xfId="2533"/>
    <cellStyle name="Обычный 6 2 2 8 2 3" xfId="1332"/>
    <cellStyle name="Обычный 6 2 2 8 2 3 2" xfId="3046"/>
    <cellStyle name="Обычный 6 2 2 8 2 4" xfId="2191"/>
    <cellStyle name="Обычный 6 2 2 8 3" xfId="326"/>
    <cellStyle name="Обычный 6 2 2 8 3 2" xfId="1182"/>
    <cellStyle name="Обычный 6 2 2 8 3 2 2" xfId="2896"/>
    <cellStyle name="Обычный 6 2 2 8 3 3" xfId="2041"/>
    <cellStyle name="Обычный 6 2 2 8 4" xfId="669"/>
    <cellStyle name="Обычный 6 2 2 8 4 2" xfId="1524"/>
    <cellStyle name="Обычный 6 2 2 8 4 2 2" xfId="3238"/>
    <cellStyle name="Обычный 6 2 2 8 4 3" xfId="2383"/>
    <cellStyle name="Обычный 6 2 2 8 5" xfId="1011"/>
    <cellStyle name="Обычный 6 2 2 8 5 2" xfId="2725"/>
    <cellStyle name="Обычный 6 2 2 8 6" xfId="1870"/>
    <cellStyle name="Обычный 6 2 2 9" xfId="447"/>
    <cellStyle name="Обычный 6 2 2 9 2" xfId="789"/>
    <cellStyle name="Обычный 6 2 2 9 2 2" xfId="1644"/>
    <cellStyle name="Обычный 6 2 2 9 2 2 2" xfId="3358"/>
    <cellStyle name="Обычный 6 2 2 9 2 3" xfId="2503"/>
    <cellStyle name="Обычный 6 2 2 9 3" xfId="1302"/>
    <cellStyle name="Обычный 6 2 2 9 3 2" xfId="3016"/>
    <cellStyle name="Обычный 6 2 2 9 4" xfId="2161"/>
    <cellStyle name="Обычный 6 2 3" xfId="102"/>
    <cellStyle name="Обычный 6 2 3 10" xfId="278"/>
    <cellStyle name="Обычный 6 2 3 10 2" xfId="1134"/>
    <cellStyle name="Обычный 6 2 3 10 2 2" xfId="2848"/>
    <cellStyle name="Обычный 6 2 3 10 3" xfId="1993"/>
    <cellStyle name="Обычный 6 2 3 11" xfId="621"/>
    <cellStyle name="Обычный 6 2 3 11 2" xfId="1476"/>
    <cellStyle name="Обычный 6 2 3 11 2 2" xfId="3190"/>
    <cellStyle name="Обычный 6 2 3 11 3" xfId="2335"/>
    <cellStyle name="Обычный 6 2 3 12" xfId="963"/>
    <cellStyle name="Обычный 6 2 3 12 2" xfId="2677"/>
    <cellStyle name="Обычный 6 2 3 13" xfId="1822"/>
    <cellStyle name="Обычный 6 2 3 2" xfId="109"/>
    <cellStyle name="Обычный 6 2 3 2 10" xfId="1824"/>
    <cellStyle name="Обычный 6 2 3 2 2" xfId="126"/>
    <cellStyle name="Обычный 6 2 3 2 2 2" xfId="156"/>
    <cellStyle name="Обычный 6 2 3 2 2 2 2" xfId="157"/>
    <cellStyle name="Обычный 6 2 3 2 2 2 2 2" xfId="481"/>
    <cellStyle name="Обычный 6 2 3 2 2 2 2 2 2" xfId="823"/>
    <cellStyle name="Обычный 6 2 3 2 2 2 2 2 2 2" xfId="1678"/>
    <cellStyle name="Обычный 6 2 3 2 2 2 2 2 2 2 2" xfId="3392"/>
    <cellStyle name="Обычный 6 2 3 2 2 2 2 2 2 3" xfId="2537"/>
    <cellStyle name="Обычный 6 2 3 2 2 2 2 2 3" xfId="1336"/>
    <cellStyle name="Обычный 6 2 3 2 2 2 2 2 3 2" xfId="3050"/>
    <cellStyle name="Обычный 6 2 3 2 2 2 2 2 4" xfId="2195"/>
    <cellStyle name="Обычный 6 2 3 2 2 2 2 3" xfId="328"/>
    <cellStyle name="Обычный 6 2 3 2 2 2 2 3 2" xfId="1184"/>
    <cellStyle name="Обычный 6 2 3 2 2 2 2 3 2 2" xfId="2898"/>
    <cellStyle name="Обычный 6 2 3 2 2 2 2 3 3" xfId="2043"/>
    <cellStyle name="Обычный 6 2 3 2 2 2 2 4" xfId="671"/>
    <cellStyle name="Обычный 6 2 3 2 2 2 2 4 2" xfId="1526"/>
    <cellStyle name="Обычный 6 2 3 2 2 2 2 4 2 2" xfId="3240"/>
    <cellStyle name="Обычный 6 2 3 2 2 2 2 4 3" xfId="2385"/>
    <cellStyle name="Обычный 6 2 3 2 2 2 2 5" xfId="1013"/>
    <cellStyle name="Обычный 6 2 3 2 2 2 2 5 2" xfId="2727"/>
    <cellStyle name="Обычный 6 2 3 2 2 2 2 6" xfId="1872"/>
    <cellStyle name="Обычный 6 2 3 2 2 2 3" xfId="158"/>
    <cellStyle name="Обычный 6 2 3 2 2 2 3 2" xfId="482"/>
    <cellStyle name="Обычный 6 2 3 2 2 2 3 2 2" xfId="824"/>
    <cellStyle name="Обычный 6 2 3 2 2 2 3 2 2 2" xfId="1679"/>
    <cellStyle name="Обычный 6 2 3 2 2 2 3 2 2 2 2" xfId="3393"/>
    <cellStyle name="Обычный 6 2 3 2 2 2 3 2 2 3" xfId="2538"/>
    <cellStyle name="Обычный 6 2 3 2 2 2 3 2 3" xfId="1337"/>
    <cellStyle name="Обычный 6 2 3 2 2 2 3 2 3 2" xfId="3051"/>
    <cellStyle name="Обычный 6 2 3 2 2 2 3 2 4" xfId="2196"/>
    <cellStyle name="Обычный 6 2 3 2 2 2 3 3" xfId="329"/>
    <cellStyle name="Обычный 6 2 3 2 2 2 3 3 2" xfId="1185"/>
    <cellStyle name="Обычный 6 2 3 2 2 2 3 3 2 2" xfId="2899"/>
    <cellStyle name="Обычный 6 2 3 2 2 2 3 3 3" xfId="2044"/>
    <cellStyle name="Обычный 6 2 3 2 2 2 3 4" xfId="672"/>
    <cellStyle name="Обычный 6 2 3 2 2 2 3 4 2" xfId="1527"/>
    <cellStyle name="Обычный 6 2 3 2 2 2 3 4 2 2" xfId="3241"/>
    <cellStyle name="Обычный 6 2 3 2 2 2 3 4 3" xfId="2386"/>
    <cellStyle name="Обычный 6 2 3 2 2 2 3 5" xfId="1014"/>
    <cellStyle name="Обычный 6 2 3 2 2 2 3 5 2" xfId="2728"/>
    <cellStyle name="Обычный 6 2 3 2 2 2 3 6" xfId="1873"/>
    <cellStyle name="Обычный 6 2 3 2 2 2 4" xfId="480"/>
    <cellStyle name="Обычный 6 2 3 2 2 2 4 2" xfId="822"/>
    <cellStyle name="Обычный 6 2 3 2 2 2 4 2 2" xfId="1677"/>
    <cellStyle name="Обычный 6 2 3 2 2 2 4 2 2 2" xfId="3391"/>
    <cellStyle name="Обычный 6 2 3 2 2 2 4 2 3" xfId="2536"/>
    <cellStyle name="Обычный 6 2 3 2 2 2 4 3" xfId="1335"/>
    <cellStyle name="Обычный 6 2 3 2 2 2 4 3 2" xfId="3049"/>
    <cellStyle name="Обычный 6 2 3 2 2 2 4 4" xfId="2194"/>
    <cellStyle name="Обычный 6 2 3 2 2 2 5" xfId="327"/>
    <cellStyle name="Обычный 6 2 3 2 2 2 5 2" xfId="1183"/>
    <cellStyle name="Обычный 6 2 3 2 2 2 5 2 2" xfId="2897"/>
    <cellStyle name="Обычный 6 2 3 2 2 2 5 3" xfId="2042"/>
    <cellStyle name="Обычный 6 2 3 2 2 2 6" xfId="670"/>
    <cellStyle name="Обычный 6 2 3 2 2 2 6 2" xfId="1525"/>
    <cellStyle name="Обычный 6 2 3 2 2 2 6 2 2" xfId="3239"/>
    <cellStyle name="Обычный 6 2 3 2 2 2 6 3" xfId="2384"/>
    <cellStyle name="Обычный 6 2 3 2 2 2 7" xfId="1012"/>
    <cellStyle name="Обычный 6 2 3 2 2 2 7 2" xfId="2726"/>
    <cellStyle name="Обычный 6 2 3 2 2 2 8" xfId="1871"/>
    <cellStyle name="Обычный 6 2 3 2 2 3" xfId="159"/>
    <cellStyle name="Обычный 6 2 3 2 2 3 2" xfId="483"/>
    <cellStyle name="Обычный 6 2 3 2 2 3 2 2" xfId="825"/>
    <cellStyle name="Обычный 6 2 3 2 2 3 2 2 2" xfId="1680"/>
    <cellStyle name="Обычный 6 2 3 2 2 3 2 2 2 2" xfId="3394"/>
    <cellStyle name="Обычный 6 2 3 2 2 3 2 2 3" xfId="2539"/>
    <cellStyle name="Обычный 6 2 3 2 2 3 2 3" xfId="1338"/>
    <cellStyle name="Обычный 6 2 3 2 2 3 2 3 2" xfId="3052"/>
    <cellStyle name="Обычный 6 2 3 2 2 3 2 4" xfId="2197"/>
    <cellStyle name="Обычный 6 2 3 2 2 3 3" xfId="330"/>
    <cellStyle name="Обычный 6 2 3 2 2 3 3 2" xfId="1186"/>
    <cellStyle name="Обычный 6 2 3 2 2 3 3 2 2" xfId="2900"/>
    <cellStyle name="Обычный 6 2 3 2 2 3 3 3" xfId="2045"/>
    <cellStyle name="Обычный 6 2 3 2 2 3 4" xfId="673"/>
    <cellStyle name="Обычный 6 2 3 2 2 3 4 2" xfId="1528"/>
    <cellStyle name="Обычный 6 2 3 2 2 3 4 2 2" xfId="3242"/>
    <cellStyle name="Обычный 6 2 3 2 2 3 4 3" xfId="2387"/>
    <cellStyle name="Обычный 6 2 3 2 2 3 5" xfId="1015"/>
    <cellStyle name="Обычный 6 2 3 2 2 3 5 2" xfId="2729"/>
    <cellStyle name="Обычный 6 2 3 2 2 3 6" xfId="1874"/>
    <cellStyle name="Обычный 6 2 3 2 2 4" xfId="160"/>
    <cellStyle name="Обычный 6 2 3 2 2 4 2" xfId="484"/>
    <cellStyle name="Обычный 6 2 3 2 2 4 2 2" xfId="826"/>
    <cellStyle name="Обычный 6 2 3 2 2 4 2 2 2" xfId="1681"/>
    <cellStyle name="Обычный 6 2 3 2 2 4 2 2 2 2" xfId="3395"/>
    <cellStyle name="Обычный 6 2 3 2 2 4 2 2 3" xfId="2540"/>
    <cellStyle name="Обычный 6 2 3 2 2 4 2 3" xfId="1339"/>
    <cellStyle name="Обычный 6 2 3 2 2 4 2 3 2" xfId="3053"/>
    <cellStyle name="Обычный 6 2 3 2 2 4 2 4" xfId="2198"/>
    <cellStyle name="Обычный 6 2 3 2 2 4 3" xfId="331"/>
    <cellStyle name="Обычный 6 2 3 2 2 4 3 2" xfId="1187"/>
    <cellStyle name="Обычный 6 2 3 2 2 4 3 2 2" xfId="2901"/>
    <cellStyle name="Обычный 6 2 3 2 2 4 3 3" xfId="2046"/>
    <cellStyle name="Обычный 6 2 3 2 2 4 4" xfId="674"/>
    <cellStyle name="Обычный 6 2 3 2 2 4 4 2" xfId="1529"/>
    <cellStyle name="Обычный 6 2 3 2 2 4 4 2 2" xfId="3243"/>
    <cellStyle name="Обычный 6 2 3 2 2 4 4 3" xfId="2388"/>
    <cellStyle name="Обычный 6 2 3 2 2 4 5" xfId="1016"/>
    <cellStyle name="Обычный 6 2 3 2 2 4 5 2" xfId="2730"/>
    <cellStyle name="Обычный 6 2 3 2 2 4 6" xfId="1875"/>
    <cellStyle name="Обычный 6 2 3 2 2 5" xfId="479"/>
    <cellStyle name="Обычный 6 2 3 2 2 5 2" xfId="821"/>
    <cellStyle name="Обычный 6 2 3 2 2 5 2 2" xfId="1676"/>
    <cellStyle name="Обычный 6 2 3 2 2 5 2 2 2" xfId="3390"/>
    <cellStyle name="Обычный 6 2 3 2 2 5 2 3" xfId="2535"/>
    <cellStyle name="Обычный 6 2 3 2 2 5 3" xfId="1334"/>
    <cellStyle name="Обычный 6 2 3 2 2 5 3 2" xfId="3048"/>
    <cellStyle name="Обычный 6 2 3 2 2 5 4" xfId="2193"/>
    <cellStyle name="Обычный 6 2 3 2 2 6" xfId="297"/>
    <cellStyle name="Обычный 6 2 3 2 2 6 2" xfId="1153"/>
    <cellStyle name="Обычный 6 2 3 2 2 6 2 2" xfId="2867"/>
    <cellStyle name="Обычный 6 2 3 2 2 6 3" xfId="2012"/>
    <cellStyle name="Обычный 6 2 3 2 2 7" xfId="640"/>
    <cellStyle name="Обычный 6 2 3 2 2 7 2" xfId="1495"/>
    <cellStyle name="Обычный 6 2 3 2 2 7 2 2" xfId="3209"/>
    <cellStyle name="Обычный 6 2 3 2 2 7 3" xfId="2354"/>
    <cellStyle name="Обычный 6 2 3 2 2 8" xfId="982"/>
    <cellStyle name="Обычный 6 2 3 2 2 8 2" xfId="2696"/>
    <cellStyle name="Обычный 6 2 3 2 2 9" xfId="1841"/>
    <cellStyle name="Обычный 6 2 3 2 3" xfId="128"/>
    <cellStyle name="Обычный 6 2 3 2 3 2" xfId="161"/>
    <cellStyle name="Обычный 6 2 3 2 3 2 2" xfId="486"/>
    <cellStyle name="Обычный 6 2 3 2 3 2 2 2" xfId="828"/>
    <cellStyle name="Обычный 6 2 3 2 3 2 2 2 2" xfId="1683"/>
    <cellStyle name="Обычный 6 2 3 2 3 2 2 2 2 2" xfId="3397"/>
    <cellStyle name="Обычный 6 2 3 2 3 2 2 2 3" xfId="2542"/>
    <cellStyle name="Обычный 6 2 3 2 3 2 2 3" xfId="1341"/>
    <cellStyle name="Обычный 6 2 3 2 3 2 2 3 2" xfId="3055"/>
    <cellStyle name="Обычный 6 2 3 2 3 2 2 4" xfId="2200"/>
    <cellStyle name="Обычный 6 2 3 2 3 2 3" xfId="332"/>
    <cellStyle name="Обычный 6 2 3 2 3 2 3 2" xfId="1188"/>
    <cellStyle name="Обычный 6 2 3 2 3 2 3 2 2" xfId="2902"/>
    <cellStyle name="Обычный 6 2 3 2 3 2 3 3" xfId="2047"/>
    <cellStyle name="Обычный 6 2 3 2 3 2 4" xfId="675"/>
    <cellStyle name="Обычный 6 2 3 2 3 2 4 2" xfId="1530"/>
    <cellStyle name="Обычный 6 2 3 2 3 2 4 2 2" xfId="3244"/>
    <cellStyle name="Обычный 6 2 3 2 3 2 4 3" xfId="2389"/>
    <cellStyle name="Обычный 6 2 3 2 3 2 5" xfId="1017"/>
    <cellStyle name="Обычный 6 2 3 2 3 2 5 2" xfId="2731"/>
    <cellStyle name="Обычный 6 2 3 2 3 2 6" xfId="1876"/>
    <cellStyle name="Обычный 6 2 3 2 3 3" xfId="162"/>
    <cellStyle name="Обычный 6 2 3 2 3 3 2" xfId="487"/>
    <cellStyle name="Обычный 6 2 3 2 3 3 2 2" xfId="829"/>
    <cellStyle name="Обычный 6 2 3 2 3 3 2 2 2" xfId="1684"/>
    <cellStyle name="Обычный 6 2 3 2 3 3 2 2 2 2" xfId="3398"/>
    <cellStyle name="Обычный 6 2 3 2 3 3 2 2 3" xfId="2543"/>
    <cellStyle name="Обычный 6 2 3 2 3 3 2 3" xfId="1342"/>
    <cellStyle name="Обычный 6 2 3 2 3 3 2 3 2" xfId="3056"/>
    <cellStyle name="Обычный 6 2 3 2 3 3 2 4" xfId="2201"/>
    <cellStyle name="Обычный 6 2 3 2 3 3 3" xfId="333"/>
    <cellStyle name="Обычный 6 2 3 2 3 3 3 2" xfId="1189"/>
    <cellStyle name="Обычный 6 2 3 2 3 3 3 2 2" xfId="2903"/>
    <cellStyle name="Обычный 6 2 3 2 3 3 3 3" xfId="2048"/>
    <cellStyle name="Обычный 6 2 3 2 3 3 4" xfId="676"/>
    <cellStyle name="Обычный 6 2 3 2 3 3 4 2" xfId="1531"/>
    <cellStyle name="Обычный 6 2 3 2 3 3 4 2 2" xfId="3245"/>
    <cellStyle name="Обычный 6 2 3 2 3 3 4 3" xfId="2390"/>
    <cellStyle name="Обычный 6 2 3 2 3 3 5" xfId="1018"/>
    <cellStyle name="Обычный 6 2 3 2 3 3 5 2" xfId="2732"/>
    <cellStyle name="Обычный 6 2 3 2 3 3 6" xfId="1877"/>
    <cellStyle name="Обычный 6 2 3 2 3 4" xfId="485"/>
    <cellStyle name="Обычный 6 2 3 2 3 4 2" xfId="827"/>
    <cellStyle name="Обычный 6 2 3 2 3 4 2 2" xfId="1682"/>
    <cellStyle name="Обычный 6 2 3 2 3 4 2 2 2" xfId="3396"/>
    <cellStyle name="Обычный 6 2 3 2 3 4 2 3" xfId="2541"/>
    <cellStyle name="Обычный 6 2 3 2 3 4 3" xfId="1340"/>
    <cellStyle name="Обычный 6 2 3 2 3 4 3 2" xfId="3054"/>
    <cellStyle name="Обычный 6 2 3 2 3 4 4" xfId="2199"/>
    <cellStyle name="Обычный 6 2 3 2 3 5" xfId="299"/>
    <cellStyle name="Обычный 6 2 3 2 3 5 2" xfId="1155"/>
    <cellStyle name="Обычный 6 2 3 2 3 5 2 2" xfId="2869"/>
    <cellStyle name="Обычный 6 2 3 2 3 5 3" xfId="2014"/>
    <cellStyle name="Обычный 6 2 3 2 3 6" xfId="642"/>
    <cellStyle name="Обычный 6 2 3 2 3 6 2" xfId="1497"/>
    <cellStyle name="Обычный 6 2 3 2 3 6 2 2" xfId="3211"/>
    <cellStyle name="Обычный 6 2 3 2 3 6 3" xfId="2356"/>
    <cellStyle name="Обычный 6 2 3 2 3 7" xfId="984"/>
    <cellStyle name="Обычный 6 2 3 2 3 7 2" xfId="2698"/>
    <cellStyle name="Обычный 6 2 3 2 3 8" xfId="1843"/>
    <cellStyle name="Обычный 6 2 3 2 4" xfId="163"/>
    <cellStyle name="Обычный 6 2 3 2 4 2" xfId="488"/>
    <cellStyle name="Обычный 6 2 3 2 4 2 2" xfId="830"/>
    <cellStyle name="Обычный 6 2 3 2 4 2 2 2" xfId="1685"/>
    <cellStyle name="Обычный 6 2 3 2 4 2 2 2 2" xfId="3399"/>
    <cellStyle name="Обычный 6 2 3 2 4 2 2 3" xfId="2544"/>
    <cellStyle name="Обычный 6 2 3 2 4 2 3" xfId="1343"/>
    <cellStyle name="Обычный 6 2 3 2 4 2 3 2" xfId="3057"/>
    <cellStyle name="Обычный 6 2 3 2 4 2 4" xfId="2202"/>
    <cellStyle name="Обычный 6 2 3 2 4 3" xfId="334"/>
    <cellStyle name="Обычный 6 2 3 2 4 3 2" xfId="1190"/>
    <cellStyle name="Обычный 6 2 3 2 4 3 2 2" xfId="2904"/>
    <cellStyle name="Обычный 6 2 3 2 4 3 3" xfId="2049"/>
    <cellStyle name="Обычный 6 2 3 2 4 4" xfId="677"/>
    <cellStyle name="Обычный 6 2 3 2 4 4 2" xfId="1532"/>
    <cellStyle name="Обычный 6 2 3 2 4 4 2 2" xfId="3246"/>
    <cellStyle name="Обычный 6 2 3 2 4 4 3" xfId="2391"/>
    <cellStyle name="Обычный 6 2 3 2 4 5" xfId="1019"/>
    <cellStyle name="Обычный 6 2 3 2 4 5 2" xfId="2733"/>
    <cellStyle name="Обычный 6 2 3 2 4 6" xfId="1878"/>
    <cellStyle name="Обычный 6 2 3 2 5" xfId="164"/>
    <cellStyle name="Обычный 6 2 3 2 5 2" xfId="489"/>
    <cellStyle name="Обычный 6 2 3 2 5 2 2" xfId="831"/>
    <cellStyle name="Обычный 6 2 3 2 5 2 2 2" xfId="1686"/>
    <cellStyle name="Обычный 6 2 3 2 5 2 2 2 2" xfId="3400"/>
    <cellStyle name="Обычный 6 2 3 2 5 2 2 3" xfId="2545"/>
    <cellStyle name="Обычный 6 2 3 2 5 2 3" xfId="1344"/>
    <cellStyle name="Обычный 6 2 3 2 5 2 3 2" xfId="3058"/>
    <cellStyle name="Обычный 6 2 3 2 5 2 4" xfId="2203"/>
    <cellStyle name="Обычный 6 2 3 2 5 3" xfId="335"/>
    <cellStyle name="Обычный 6 2 3 2 5 3 2" xfId="1191"/>
    <cellStyle name="Обычный 6 2 3 2 5 3 2 2" xfId="2905"/>
    <cellStyle name="Обычный 6 2 3 2 5 3 3" xfId="2050"/>
    <cellStyle name="Обычный 6 2 3 2 5 4" xfId="678"/>
    <cellStyle name="Обычный 6 2 3 2 5 4 2" xfId="1533"/>
    <cellStyle name="Обычный 6 2 3 2 5 4 2 2" xfId="3247"/>
    <cellStyle name="Обычный 6 2 3 2 5 4 3" xfId="2392"/>
    <cellStyle name="Обычный 6 2 3 2 5 5" xfId="1020"/>
    <cellStyle name="Обычный 6 2 3 2 5 5 2" xfId="2734"/>
    <cellStyle name="Обычный 6 2 3 2 5 6" xfId="1879"/>
    <cellStyle name="Обычный 6 2 3 2 6" xfId="478"/>
    <cellStyle name="Обычный 6 2 3 2 6 2" xfId="820"/>
    <cellStyle name="Обычный 6 2 3 2 6 2 2" xfId="1675"/>
    <cellStyle name="Обычный 6 2 3 2 6 2 2 2" xfId="3389"/>
    <cellStyle name="Обычный 6 2 3 2 6 2 3" xfId="2534"/>
    <cellStyle name="Обычный 6 2 3 2 6 3" xfId="1333"/>
    <cellStyle name="Обычный 6 2 3 2 6 3 2" xfId="3047"/>
    <cellStyle name="Обычный 6 2 3 2 6 4" xfId="2192"/>
    <cellStyle name="Обычный 6 2 3 2 7" xfId="280"/>
    <cellStyle name="Обычный 6 2 3 2 7 2" xfId="1136"/>
    <cellStyle name="Обычный 6 2 3 2 7 2 2" xfId="2850"/>
    <cellStyle name="Обычный 6 2 3 2 7 3" xfId="1995"/>
    <cellStyle name="Обычный 6 2 3 2 8" xfId="623"/>
    <cellStyle name="Обычный 6 2 3 2 8 2" xfId="1478"/>
    <cellStyle name="Обычный 6 2 3 2 8 2 2" xfId="3192"/>
    <cellStyle name="Обычный 6 2 3 2 8 3" xfId="2337"/>
    <cellStyle name="Обычный 6 2 3 2 9" xfId="965"/>
    <cellStyle name="Обычный 6 2 3 2 9 2" xfId="2679"/>
    <cellStyle name="Обычный 6 2 3 3" xfId="124"/>
    <cellStyle name="Обычный 6 2 3 3 2" xfId="165"/>
    <cellStyle name="Обычный 6 2 3 3 2 2" xfId="166"/>
    <cellStyle name="Обычный 6 2 3 3 2 2 2" xfId="492"/>
    <cellStyle name="Обычный 6 2 3 3 2 2 2 2" xfId="834"/>
    <cellStyle name="Обычный 6 2 3 3 2 2 2 2 2" xfId="1689"/>
    <cellStyle name="Обычный 6 2 3 3 2 2 2 2 2 2" xfId="3403"/>
    <cellStyle name="Обычный 6 2 3 3 2 2 2 2 3" xfId="2548"/>
    <cellStyle name="Обычный 6 2 3 3 2 2 2 3" xfId="1347"/>
    <cellStyle name="Обычный 6 2 3 3 2 2 2 3 2" xfId="3061"/>
    <cellStyle name="Обычный 6 2 3 3 2 2 2 4" xfId="2206"/>
    <cellStyle name="Обычный 6 2 3 3 2 2 3" xfId="337"/>
    <cellStyle name="Обычный 6 2 3 3 2 2 3 2" xfId="1193"/>
    <cellStyle name="Обычный 6 2 3 3 2 2 3 2 2" xfId="2907"/>
    <cellStyle name="Обычный 6 2 3 3 2 2 3 3" xfId="2052"/>
    <cellStyle name="Обычный 6 2 3 3 2 2 4" xfId="680"/>
    <cellStyle name="Обычный 6 2 3 3 2 2 4 2" xfId="1535"/>
    <cellStyle name="Обычный 6 2 3 3 2 2 4 2 2" xfId="3249"/>
    <cellStyle name="Обычный 6 2 3 3 2 2 4 3" xfId="2394"/>
    <cellStyle name="Обычный 6 2 3 3 2 2 5" xfId="1022"/>
    <cellStyle name="Обычный 6 2 3 3 2 2 5 2" xfId="2736"/>
    <cellStyle name="Обычный 6 2 3 3 2 2 6" xfId="1881"/>
    <cellStyle name="Обычный 6 2 3 3 2 3" xfId="167"/>
    <cellStyle name="Обычный 6 2 3 3 2 3 2" xfId="493"/>
    <cellStyle name="Обычный 6 2 3 3 2 3 2 2" xfId="835"/>
    <cellStyle name="Обычный 6 2 3 3 2 3 2 2 2" xfId="1690"/>
    <cellStyle name="Обычный 6 2 3 3 2 3 2 2 2 2" xfId="3404"/>
    <cellStyle name="Обычный 6 2 3 3 2 3 2 2 3" xfId="2549"/>
    <cellStyle name="Обычный 6 2 3 3 2 3 2 3" xfId="1348"/>
    <cellStyle name="Обычный 6 2 3 3 2 3 2 3 2" xfId="3062"/>
    <cellStyle name="Обычный 6 2 3 3 2 3 2 4" xfId="2207"/>
    <cellStyle name="Обычный 6 2 3 3 2 3 3" xfId="338"/>
    <cellStyle name="Обычный 6 2 3 3 2 3 3 2" xfId="1194"/>
    <cellStyle name="Обычный 6 2 3 3 2 3 3 2 2" xfId="2908"/>
    <cellStyle name="Обычный 6 2 3 3 2 3 3 3" xfId="2053"/>
    <cellStyle name="Обычный 6 2 3 3 2 3 4" xfId="681"/>
    <cellStyle name="Обычный 6 2 3 3 2 3 4 2" xfId="1536"/>
    <cellStyle name="Обычный 6 2 3 3 2 3 4 2 2" xfId="3250"/>
    <cellStyle name="Обычный 6 2 3 3 2 3 4 3" xfId="2395"/>
    <cellStyle name="Обычный 6 2 3 3 2 3 5" xfId="1023"/>
    <cellStyle name="Обычный 6 2 3 3 2 3 5 2" xfId="2737"/>
    <cellStyle name="Обычный 6 2 3 3 2 3 6" xfId="1882"/>
    <cellStyle name="Обычный 6 2 3 3 2 4" xfId="491"/>
    <cellStyle name="Обычный 6 2 3 3 2 4 2" xfId="833"/>
    <cellStyle name="Обычный 6 2 3 3 2 4 2 2" xfId="1688"/>
    <cellStyle name="Обычный 6 2 3 3 2 4 2 2 2" xfId="3402"/>
    <cellStyle name="Обычный 6 2 3 3 2 4 2 3" xfId="2547"/>
    <cellStyle name="Обычный 6 2 3 3 2 4 3" xfId="1346"/>
    <cellStyle name="Обычный 6 2 3 3 2 4 3 2" xfId="3060"/>
    <cellStyle name="Обычный 6 2 3 3 2 4 4" xfId="2205"/>
    <cellStyle name="Обычный 6 2 3 3 2 5" xfId="336"/>
    <cellStyle name="Обычный 6 2 3 3 2 5 2" xfId="1192"/>
    <cellStyle name="Обычный 6 2 3 3 2 5 2 2" xfId="2906"/>
    <cellStyle name="Обычный 6 2 3 3 2 5 3" xfId="2051"/>
    <cellStyle name="Обычный 6 2 3 3 2 6" xfId="679"/>
    <cellStyle name="Обычный 6 2 3 3 2 6 2" xfId="1534"/>
    <cellStyle name="Обычный 6 2 3 3 2 6 2 2" xfId="3248"/>
    <cellStyle name="Обычный 6 2 3 3 2 6 3" xfId="2393"/>
    <cellStyle name="Обычный 6 2 3 3 2 7" xfId="1021"/>
    <cellStyle name="Обычный 6 2 3 3 2 7 2" xfId="2735"/>
    <cellStyle name="Обычный 6 2 3 3 2 8" xfId="1880"/>
    <cellStyle name="Обычный 6 2 3 3 3" xfId="168"/>
    <cellStyle name="Обычный 6 2 3 3 3 2" xfId="494"/>
    <cellStyle name="Обычный 6 2 3 3 3 2 2" xfId="836"/>
    <cellStyle name="Обычный 6 2 3 3 3 2 2 2" xfId="1691"/>
    <cellStyle name="Обычный 6 2 3 3 3 2 2 2 2" xfId="3405"/>
    <cellStyle name="Обычный 6 2 3 3 3 2 2 3" xfId="2550"/>
    <cellStyle name="Обычный 6 2 3 3 3 2 3" xfId="1349"/>
    <cellStyle name="Обычный 6 2 3 3 3 2 3 2" xfId="3063"/>
    <cellStyle name="Обычный 6 2 3 3 3 2 4" xfId="2208"/>
    <cellStyle name="Обычный 6 2 3 3 3 3" xfId="339"/>
    <cellStyle name="Обычный 6 2 3 3 3 3 2" xfId="1195"/>
    <cellStyle name="Обычный 6 2 3 3 3 3 2 2" xfId="2909"/>
    <cellStyle name="Обычный 6 2 3 3 3 3 3" xfId="2054"/>
    <cellStyle name="Обычный 6 2 3 3 3 4" xfId="682"/>
    <cellStyle name="Обычный 6 2 3 3 3 4 2" xfId="1537"/>
    <cellStyle name="Обычный 6 2 3 3 3 4 2 2" xfId="3251"/>
    <cellStyle name="Обычный 6 2 3 3 3 4 3" xfId="2396"/>
    <cellStyle name="Обычный 6 2 3 3 3 5" xfId="1024"/>
    <cellStyle name="Обычный 6 2 3 3 3 5 2" xfId="2738"/>
    <cellStyle name="Обычный 6 2 3 3 3 6" xfId="1883"/>
    <cellStyle name="Обычный 6 2 3 3 4" xfId="169"/>
    <cellStyle name="Обычный 6 2 3 3 4 2" xfId="495"/>
    <cellStyle name="Обычный 6 2 3 3 4 2 2" xfId="837"/>
    <cellStyle name="Обычный 6 2 3 3 4 2 2 2" xfId="1692"/>
    <cellStyle name="Обычный 6 2 3 3 4 2 2 2 2" xfId="3406"/>
    <cellStyle name="Обычный 6 2 3 3 4 2 2 3" xfId="2551"/>
    <cellStyle name="Обычный 6 2 3 3 4 2 3" xfId="1350"/>
    <cellStyle name="Обычный 6 2 3 3 4 2 3 2" xfId="3064"/>
    <cellStyle name="Обычный 6 2 3 3 4 2 4" xfId="2209"/>
    <cellStyle name="Обычный 6 2 3 3 4 3" xfId="340"/>
    <cellStyle name="Обычный 6 2 3 3 4 3 2" xfId="1196"/>
    <cellStyle name="Обычный 6 2 3 3 4 3 2 2" xfId="2910"/>
    <cellStyle name="Обычный 6 2 3 3 4 3 3" xfId="2055"/>
    <cellStyle name="Обычный 6 2 3 3 4 4" xfId="683"/>
    <cellStyle name="Обычный 6 2 3 3 4 4 2" xfId="1538"/>
    <cellStyle name="Обычный 6 2 3 3 4 4 2 2" xfId="3252"/>
    <cellStyle name="Обычный 6 2 3 3 4 4 3" xfId="2397"/>
    <cellStyle name="Обычный 6 2 3 3 4 5" xfId="1025"/>
    <cellStyle name="Обычный 6 2 3 3 4 5 2" xfId="2739"/>
    <cellStyle name="Обычный 6 2 3 3 4 6" xfId="1884"/>
    <cellStyle name="Обычный 6 2 3 3 5" xfId="490"/>
    <cellStyle name="Обычный 6 2 3 3 5 2" xfId="832"/>
    <cellStyle name="Обычный 6 2 3 3 5 2 2" xfId="1687"/>
    <cellStyle name="Обычный 6 2 3 3 5 2 2 2" xfId="3401"/>
    <cellStyle name="Обычный 6 2 3 3 5 2 3" xfId="2546"/>
    <cellStyle name="Обычный 6 2 3 3 5 3" xfId="1345"/>
    <cellStyle name="Обычный 6 2 3 3 5 3 2" xfId="3059"/>
    <cellStyle name="Обычный 6 2 3 3 5 4" xfId="2204"/>
    <cellStyle name="Обычный 6 2 3 3 6" xfId="295"/>
    <cellStyle name="Обычный 6 2 3 3 6 2" xfId="1151"/>
    <cellStyle name="Обычный 6 2 3 3 6 2 2" xfId="2865"/>
    <cellStyle name="Обычный 6 2 3 3 6 3" xfId="2010"/>
    <cellStyle name="Обычный 6 2 3 3 7" xfId="638"/>
    <cellStyle name="Обычный 6 2 3 3 7 2" xfId="1493"/>
    <cellStyle name="Обычный 6 2 3 3 7 2 2" xfId="3207"/>
    <cellStyle name="Обычный 6 2 3 3 7 3" xfId="2352"/>
    <cellStyle name="Обычный 6 2 3 3 8" xfId="980"/>
    <cellStyle name="Обычный 6 2 3 3 8 2" xfId="2694"/>
    <cellStyle name="Обычный 6 2 3 3 9" xfId="1839"/>
    <cellStyle name="Обычный 6 2 3 4" xfId="117"/>
    <cellStyle name="Обычный 6 2 3 4 2" xfId="170"/>
    <cellStyle name="Обычный 6 2 3 4 2 2" xfId="171"/>
    <cellStyle name="Обычный 6 2 3 4 2 2 2" xfId="498"/>
    <cellStyle name="Обычный 6 2 3 4 2 2 2 2" xfId="840"/>
    <cellStyle name="Обычный 6 2 3 4 2 2 2 2 2" xfId="1695"/>
    <cellStyle name="Обычный 6 2 3 4 2 2 2 2 2 2" xfId="3409"/>
    <cellStyle name="Обычный 6 2 3 4 2 2 2 2 3" xfId="2554"/>
    <cellStyle name="Обычный 6 2 3 4 2 2 2 3" xfId="1353"/>
    <cellStyle name="Обычный 6 2 3 4 2 2 2 3 2" xfId="3067"/>
    <cellStyle name="Обычный 6 2 3 4 2 2 2 4" xfId="2212"/>
    <cellStyle name="Обычный 6 2 3 4 2 2 3" xfId="342"/>
    <cellStyle name="Обычный 6 2 3 4 2 2 3 2" xfId="1198"/>
    <cellStyle name="Обычный 6 2 3 4 2 2 3 2 2" xfId="2912"/>
    <cellStyle name="Обычный 6 2 3 4 2 2 3 3" xfId="2057"/>
    <cellStyle name="Обычный 6 2 3 4 2 2 4" xfId="685"/>
    <cellStyle name="Обычный 6 2 3 4 2 2 4 2" xfId="1540"/>
    <cellStyle name="Обычный 6 2 3 4 2 2 4 2 2" xfId="3254"/>
    <cellStyle name="Обычный 6 2 3 4 2 2 4 3" xfId="2399"/>
    <cellStyle name="Обычный 6 2 3 4 2 2 5" xfId="1027"/>
    <cellStyle name="Обычный 6 2 3 4 2 2 5 2" xfId="2741"/>
    <cellStyle name="Обычный 6 2 3 4 2 2 6" xfId="1886"/>
    <cellStyle name="Обычный 6 2 3 4 2 3" xfId="172"/>
    <cellStyle name="Обычный 6 2 3 4 2 3 2" xfId="499"/>
    <cellStyle name="Обычный 6 2 3 4 2 3 2 2" xfId="841"/>
    <cellStyle name="Обычный 6 2 3 4 2 3 2 2 2" xfId="1696"/>
    <cellStyle name="Обычный 6 2 3 4 2 3 2 2 2 2" xfId="3410"/>
    <cellStyle name="Обычный 6 2 3 4 2 3 2 2 3" xfId="2555"/>
    <cellStyle name="Обычный 6 2 3 4 2 3 2 3" xfId="1354"/>
    <cellStyle name="Обычный 6 2 3 4 2 3 2 3 2" xfId="3068"/>
    <cellStyle name="Обычный 6 2 3 4 2 3 2 4" xfId="2213"/>
    <cellStyle name="Обычный 6 2 3 4 2 3 3" xfId="343"/>
    <cellStyle name="Обычный 6 2 3 4 2 3 3 2" xfId="1199"/>
    <cellStyle name="Обычный 6 2 3 4 2 3 3 2 2" xfId="2913"/>
    <cellStyle name="Обычный 6 2 3 4 2 3 3 3" xfId="2058"/>
    <cellStyle name="Обычный 6 2 3 4 2 3 4" xfId="686"/>
    <cellStyle name="Обычный 6 2 3 4 2 3 4 2" xfId="1541"/>
    <cellStyle name="Обычный 6 2 3 4 2 3 4 2 2" xfId="3255"/>
    <cellStyle name="Обычный 6 2 3 4 2 3 4 3" xfId="2400"/>
    <cellStyle name="Обычный 6 2 3 4 2 3 5" xfId="1028"/>
    <cellStyle name="Обычный 6 2 3 4 2 3 5 2" xfId="2742"/>
    <cellStyle name="Обычный 6 2 3 4 2 3 6" xfId="1887"/>
    <cellStyle name="Обычный 6 2 3 4 2 4" xfId="497"/>
    <cellStyle name="Обычный 6 2 3 4 2 4 2" xfId="839"/>
    <cellStyle name="Обычный 6 2 3 4 2 4 2 2" xfId="1694"/>
    <cellStyle name="Обычный 6 2 3 4 2 4 2 2 2" xfId="3408"/>
    <cellStyle name="Обычный 6 2 3 4 2 4 2 3" xfId="2553"/>
    <cellStyle name="Обычный 6 2 3 4 2 4 3" xfId="1352"/>
    <cellStyle name="Обычный 6 2 3 4 2 4 3 2" xfId="3066"/>
    <cellStyle name="Обычный 6 2 3 4 2 4 4" xfId="2211"/>
    <cellStyle name="Обычный 6 2 3 4 2 5" xfId="341"/>
    <cellStyle name="Обычный 6 2 3 4 2 5 2" xfId="1197"/>
    <cellStyle name="Обычный 6 2 3 4 2 5 2 2" xfId="2911"/>
    <cellStyle name="Обычный 6 2 3 4 2 5 3" xfId="2056"/>
    <cellStyle name="Обычный 6 2 3 4 2 6" xfId="684"/>
    <cellStyle name="Обычный 6 2 3 4 2 6 2" xfId="1539"/>
    <cellStyle name="Обычный 6 2 3 4 2 6 2 2" xfId="3253"/>
    <cellStyle name="Обычный 6 2 3 4 2 6 3" xfId="2398"/>
    <cellStyle name="Обычный 6 2 3 4 2 7" xfId="1026"/>
    <cellStyle name="Обычный 6 2 3 4 2 7 2" xfId="2740"/>
    <cellStyle name="Обычный 6 2 3 4 2 8" xfId="1885"/>
    <cellStyle name="Обычный 6 2 3 4 3" xfId="173"/>
    <cellStyle name="Обычный 6 2 3 4 3 2" xfId="500"/>
    <cellStyle name="Обычный 6 2 3 4 3 2 2" xfId="842"/>
    <cellStyle name="Обычный 6 2 3 4 3 2 2 2" xfId="1697"/>
    <cellStyle name="Обычный 6 2 3 4 3 2 2 2 2" xfId="3411"/>
    <cellStyle name="Обычный 6 2 3 4 3 2 2 3" xfId="2556"/>
    <cellStyle name="Обычный 6 2 3 4 3 2 3" xfId="1355"/>
    <cellStyle name="Обычный 6 2 3 4 3 2 3 2" xfId="3069"/>
    <cellStyle name="Обычный 6 2 3 4 3 2 4" xfId="2214"/>
    <cellStyle name="Обычный 6 2 3 4 3 3" xfId="344"/>
    <cellStyle name="Обычный 6 2 3 4 3 3 2" xfId="1200"/>
    <cellStyle name="Обычный 6 2 3 4 3 3 2 2" xfId="2914"/>
    <cellStyle name="Обычный 6 2 3 4 3 3 3" xfId="2059"/>
    <cellStyle name="Обычный 6 2 3 4 3 4" xfId="687"/>
    <cellStyle name="Обычный 6 2 3 4 3 4 2" xfId="1542"/>
    <cellStyle name="Обычный 6 2 3 4 3 4 2 2" xfId="3256"/>
    <cellStyle name="Обычный 6 2 3 4 3 4 3" xfId="2401"/>
    <cellStyle name="Обычный 6 2 3 4 3 5" xfId="1029"/>
    <cellStyle name="Обычный 6 2 3 4 3 5 2" xfId="2743"/>
    <cellStyle name="Обычный 6 2 3 4 3 6" xfId="1888"/>
    <cellStyle name="Обычный 6 2 3 4 4" xfId="174"/>
    <cellStyle name="Обычный 6 2 3 4 4 2" xfId="501"/>
    <cellStyle name="Обычный 6 2 3 4 4 2 2" xfId="843"/>
    <cellStyle name="Обычный 6 2 3 4 4 2 2 2" xfId="1698"/>
    <cellStyle name="Обычный 6 2 3 4 4 2 2 2 2" xfId="3412"/>
    <cellStyle name="Обычный 6 2 3 4 4 2 2 3" xfId="2557"/>
    <cellStyle name="Обычный 6 2 3 4 4 2 3" xfId="1356"/>
    <cellStyle name="Обычный 6 2 3 4 4 2 3 2" xfId="3070"/>
    <cellStyle name="Обычный 6 2 3 4 4 2 4" xfId="2215"/>
    <cellStyle name="Обычный 6 2 3 4 4 3" xfId="345"/>
    <cellStyle name="Обычный 6 2 3 4 4 3 2" xfId="1201"/>
    <cellStyle name="Обычный 6 2 3 4 4 3 2 2" xfId="2915"/>
    <cellStyle name="Обычный 6 2 3 4 4 3 3" xfId="2060"/>
    <cellStyle name="Обычный 6 2 3 4 4 4" xfId="688"/>
    <cellStyle name="Обычный 6 2 3 4 4 4 2" xfId="1543"/>
    <cellStyle name="Обычный 6 2 3 4 4 4 2 2" xfId="3257"/>
    <cellStyle name="Обычный 6 2 3 4 4 4 3" xfId="2402"/>
    <cellStyle name="Обычный 6 2 3 4 4 5" xfId="1030"/>
    <cellStyle name="Обычный 6 2 3 4 4 5 2" xfId="2744"/>
    <cellStyle name="Обычный 6 2 3 4 4 6" xfId="1889"/>
    <cellStyle name="Обычный 6 2 3 4 5" xfId="496"/>
    <cellStyle name="Обычный 6 2 3 4 5 2" xfId="838"/>
    <cellStyle name="Обычный 6 2 3 4 5 2 2" xfId="1693"/>
    <cellStyle name="Обычный 6 2 3 4 5 2 2 2" xfId="3407"/>
    <cellStyle name="Обычный 6 2 3 4 5 2 3" xfId="2552"/>
    <cellStyle name="Обычный 6 2 3 4 5 3" xfId="1351"/>
    <cellStyle name="Обычный 6 2 3 4 5 3 2" xfId="3065"/>
    <cellStyle name="Обычный 6 2 3 4 5 4" xfId="2210"/>
    <cellStyle name="Обычный 6 2 3 4 6" xfId="288"/>
    <cellStyle name="Обычный 6 2 3 4 6 2" xfId="1144"/>
    <cellStyle name="Обычный 6 2 3 4 6 2 2" xfId="2858"/>
    <cellStyle name="Обычный 6 2 3 4 6 3" xfId="2003"/>
    <cellStyle name="Обычный 6 2 3 4 7" xfId="631"/>
    <cellStyle name="Обычный 6 2 3 4 7 2" xfId="1486"/>
    <cellStyle name="Обычный 6 2 3 4 7 2 2" xfId="3200"/>
    <cellStyle name="Обычный 6 2 3 4 7 3" xfId="2345"/>
    <cellStyle name="Обычный 6 2 3 4 8" xfId="973"/>
    <cellStyle name="Обычный 6 2 3 4 8 2" xfId="2687"/>
    <cellStyle name="Обычный 6 2 3 4 9" xfId="1832"/>
    <cellStyle name="Обычный 6 2 3 5" xfId="175"/>
    <cellStyle name="Обычный 6 2 3 5 2" xfId="176"/>
    <cellStyle name="Обычный 6 2 3 5 2 2" xfId="503"/>
    <cellStyle name="Обычный 6 2 3 5 2 2 2" xfId="845"/>
    <cellStyle name="Обычный 6 2 3 5 2 2 2 2" xfId="1700"/>
    <cellStyle name="Обычный 6 2 3 5 2 2 2 2 2" xfId="3414"/>
    <cellStyle name="Обычный 6 2 3 5 2 2 2 3" xfId="2559"/>
    <cellStyle name="Обычный 6 2 3 5 2 2 3" xfId="1358"/>
    <cellStyle name="Обычный 6 2 3 5 2 2 3 2" xfId="3072"/>
    <cellStyle name="Обычный 6 2 3 5 2 2 4" xfId="2217"/>
    <cellStyle name="Обычный 6 2 3 5 2 3" xfId="347"/>
    <cellStyle name="Обычный 6 2 3 5 2 3 2" xfId="1203"/>
    <cellStyle name="Обычный 6 2 3 5 2 3 2 2" xfId="2917"/>
    <cellStyle name="Обычный 6 2 3 5 2 3 3" xfId="2062"/>
    <cellStyle name="Обычный 6 2 3 5 2 4" xfId="690"/>
    <cellStyle name="Обычный 6 2 3 5 2 4 2" xfId="1545"/>
    <cellStyle name="Обычный 6 2 3 5 2 4 2 2" xfId="3259"/>
    <cellStyle name="Обычный 6 2 3 5 2 4 3" xfId="2404"/>
    <cellStyle name="Обычный 6 2 3 5 2 5" xfId="1032"/>
    <cellStyle name="Обычный 6 2 3 5 2 5 2" xfId="2746"/>
    <cellStyle name="Обычный 6 2 3 5 2 6" xfId="1891"/>
    <cellStyle name="Обычный 6 2 3 5 3" xfId="177"/>
    <cellStyle name="Обычный 6 2 3 5 3 2" xfId="504"/>
    <cellStyle name="Обычный 6 2 3 5 3 2 2" xfId="846"/>
    <cellStyle name="Обычный 6 2 3 5 3 2 2 2" xfId="1701"/>
    <cellStyle name="Обычный 6 2 3 5 3 2 2 2 2" xfId="3415"/>
    <cellStyle name="Обычный 6 2 3 5 3 2 2 3" xfId="2560"/>
    <cellStyle name="Обычный 6 2 3 5 3 2 3" xfId="1359"/>
    <cellStyle name="Обычный 6 2 3 5 3 2 3 2" xfId="3073"/>
    <cellStyle name="Обычный 6 2 3 5 3 2 4" xfId="2218"/>
    <cellStyle name="Обычный 6 2 3 5 3 3" xfId="348"/>
    <cellStyle name="Обычный 6 2 3 5 3 3 2" xfId="1204"/>
    <cellStyle name="Обычный 6 2 3 5 3 3 2 2" xfId="2918"/>
    <cellStyle name="Обычный 6 2 3 5 3 3 3" xfId="2063"/>
    <cellStyle name="Обычный 6 2 3 5 3 4" xfId="691"/>
    <cellStyle name="Обычный 6 2 3 5 3 4 2" xfId="1546"/>
    <cellStyle name="Обычный 6 2 3 5 3 4 2 2" xfId="3260"/>
    <cellStyle name="Обычный 6 2 3 5 3 4 3" xfId="2405"/>
    <cellStyle name="Обычный 6 2 3 5 3 5" xfId="1033"/>
    <cellStyle name="Обычный 6 2 3 5 3 5 2" xfId="2747"/>
    <cellStyle name="Обычный 6 2 3 5 3 6" xfId="1892"/>
    <cellStyle name="Обычный 6 2 3 5 4" xfId="502"/>
    <cellStyle name="Обычный 6 2 3 5 4 2" xfId="844"/>
    <cellStyle name="Обычный 6 2 3 5 4 2 2" xfId="1699"/>
    <cellStyle name="Обычный 6 2 3 5 4 2 2 2" xfId="3413"/>
    <cellStyle name="Обычный 6 2 3 5 4 2 3" xfId="2558"/>
    <cellStyle name="Обычный 6 2 3 5 4 3" xfId="1357"/>
    <cellStyle name="Обычный 6 2 3 5 4 3 2" xfId="3071"/>
    <cellStyle name="Обычный 6 2 3 5 4 4" xfId="2216"/>
    <cellStyle name="Обычный 6 2 3 5 5" xfId="346"/>
    <cellStyle name="Обычный 6 2 3 5 5 2" xfId="1202"/>
    <cellStyle name="Обычный 6 2 3 5 5 2 2" xfId="2916"/>
    <cellStyle name="Обычный 6 2 3 5 5 3" xfId="2061"/>
    <cellStyle name="Обычный 6 2 3 5 6" xfId="689"/>
    <cellStyle name="Обычный 6 2 3 5 6 2" xfId="1544"/>
    <cellStyle name="Обычный 6 2 3 5 6 2 2" xfId="3258"/>
    <cellStyle name="Обычный 6 2 3 5 6 3" xfId="2403"/>
    <cellStyle name="Обычный 6 2 3 5 7" xfId="1031"/>
    <cellStyle name="Обычный 6 2 3 5 7 2" xfId="2745"/>
    <cellStyle name="Обычный 6 2 3 5 8" xfId="1890"/>
    <cellStyle name="Обычный 6 2 3 6" xfId="178"/>
    <cellStyle name="Обычный 6 2 3 6 2" xfId="505"/>
    <cellStyle name="Обычный 6 2 3 6 2 2" xfId="847"/>
    <cellStyle name="Обычный 6 2 3 6 2 2 2" xfId="1702"/>
    <cellStyle name="Обычный 6 2 3 6 2 2 2 2" xfId="3416"/>
    <cellStyle name="Обычный 6 2 3 6 2 2 3" xfId="2561"/>
    <cellStyle name="Обычный 6 2 3 6 2 3" xfId="1360"/>
    <cellStyle name="Обычный 6 2 3 6 2 3 2" xfId="3074"/>
    <cellStyle name="Обычный 6 2 3 6 2 4" xfId="2219"/>
    <cellStyle name="Обычный 6 2 3 6 3" xfId="349"/>
    <cellStyle name="Обычный 6 2 3 6 3 2" xfId="1205"/>
    <cellStyle name="Обычный 6 2 3 6 3 2 2" xfId="2919"/>
    <cellStyle name="Обычный 6 2 3 6 3 3" xfId="2064"/>
    <cellStyle name="Обычный 6 2 3 6 4" xfId="692"/>
    <cellStyle name="Обычный 6 2 3 6 4 2" xfId="1547"/>
    <cellStyle name="Обычный 6 2 3 6 4 2 2" xfId="3261"/>
    <cellStyle name="Обычный 6 2 3 6 4 3" xfId="2406"/>
    <cellStyle name="Обычный 6 2 3 6 5" xfId="1034"/>
    <cellStyle name="Обычный 6 2 3 6 5 2" xfId="2748"/>
    <cellStyle name="Обычный 6 2 3 6 6" xfId="1893"/>
    <cellStyle name="Обычный 6 2 3 7" xfId="179"/>
    <cellStyle name="Обычный 6 2 3 7 2" xfId="506"/>
    <cellStyle name="Обычный 6 2 3 7 2 2" xfId="848"/>
    <cellStyle name="Обычный 6 2 3 7 2 2 2" xfId="1703"/>
    <cellStyle name="Обычный 6 2 3 7 2 2 2 2" xfId="3417"/>
    <cellStyle name="Обычный 6 2 3 7 2 2 3" xfId="2562"/>
    <cellStyle name="Обычный 6 2 3 7 2 3" xfId="1361"/>
    <cellStyle name="Обычный 6 2 3 7 2 3 2" xfId="3075"/>
    <cellStyle name="Обычный 6 2 3 7 2 4" xfId="2220"/>
    <cellStyle name="Обычный 6 2 3 7 3" xfId="350"/>
    <cellStyle name="Обычный 6 2 3 7 3 2" xfId="1206"/>
    <cellStyle name="Обычный 6 2 3 7 3 2 2" xfId="2920"/>
    <cellStyle name="Обычный 6 2 3 7 3 3" xfId="2065"/>
    <cellStyle name="Обычный 6 2 3 7 4" xfId="693"/>
    <cellStyle name="Обычный 6 2 3 7 4 2" xfId="1548"/>
    <cellStyle name="Обычный 6 2 3 7 4 2 2" xfId="3262"/>
    <cellStyle name="Обычный 6 2 3 7 4 3" xfId="2407"/>
    <cellStyle name="Обычный 6 2 3 7 5" xfId="1035"/>
    <cellStyle name="Обычный 6 2 3 7 5 2" xfId="2749"/>
    <cellStyle name="Обычный 6 2 3 7 6" xfId="1894"/>
    <cellStyle name="Обычный 6 2 3 8" xfId="180"/>
    <cellStyle name="Обычный 6 2 3 8 2" xfId="507"/>
    <cellStyle name="Обычный 6 2 3 8 2 2" xfId="849"/>
    <cellStyle name="Обычный 6 2 3 8 2 2 2" xfId="1704"/>
    <cellStyle name="Обычный 6 2 3 8 2 2 2 2" xfId="3418"/>
    <cellStyle name="Обычный 6 2 3 8 2 2 3" xfId="2563"/>
    <cellStyle name="Обычный 6 2 3 8 2 3" xfId="1362"/>
    <cellStyle name="Обычный 6 2 3 8 2 3 2" xfId="3076"/>
    <cellStyle name="Обычный 6 2 3 8 2 4" xfId="2221"/>
    <cellStyle name="Обычный 6 2 3 8 3" xfId="351"/>
    <cellStyle name="Обычный 6 2 3 8 3 2" xfId="1207"/>
    <cellStyle name="Обычный 6 2 3 8 3 2 2" xfId="2921"/>
    <cellStyle name="Обычный 6 2 3 8 3 3" xfId="2066"/>
    <cellStyle name="Обычный 6 2 3 8 4" xfId="694"/>
    <cellStyle name="Обычный 6 2 3 8 4 2" xfId="1549"/>
    <cellStyle name="Обычный 6 2 3 8 4 2 2" xfId="3263"/>
    <cellStyle name="Обычный 6 2 3 8 4 3" xfId="2408"/>
    <cellStyle name="Обычный 6 2 3 8 5" xfId="1036"/>
    <cellStyle name="Обычный 6 2 3 8 5 2" xfId="2750"/>
    <cellStyle name="Обычный 6 2 3 8 6" xfId="1895"/>
    <cellStyle name="Обычный 6 2 3 9" xfId="444"/>
    <cellStyle name="Обычный 6 2 3 9 2" xfId="787"/>
    <cellStyle name="Обычный 6 2 3 9 2 2" xfId="1642"/>
    <cellStyle name="Обычный 6 2 3 9 2 2 2" xfId="3356"/>
    <cellStyle name="Обычный 6 2 3 9 2 3" xfId="2501"/>
    <cellStyle name="Обычный 6 2 3 9 3" xfId="1300"/>
    <cellStyle name="Обычный 6 2 3 9 3 2" xfId="3014"/>
    <cellStyle name="Обычный 6 2 3 9 4" xfId="2159"/>
    <cellStyle name="Обычный 6 2 4" xfId="121"/>
    <cellStyle name="Обычный 6 2 4 2" xfId="181"/>
    <cellStyle name="Обычный 6 2 4 2 2" xfId="182"/>
    <cellStyle name="Обычный 6 2 4 2 2 2" xfId="510"/>
    <cellStyle name="Обычный 6 2 4 2 2 2 2" xfId="852"/>
    <cellStyle name="Обычный 6 2 4 2 2 2 2 2" xfId="1707"/>
    <cellStyle name="Обычный 6 2 4 2 2 2 2 2 2" xfId="3421"/>
    <cellStyle name="Обычный 6 2 4 2 2 2 2 3" xfId="2566"/>
    <cellStyle name="Обычный 6 2 4 2 2 2 3" xfId="1365"/>
    <cellStyle name="Обычный 6 2 4 2 2 2 3 2" xfId="3079"/>
    <cellStyle name="Обычный 6 2 4 2 2 2 4" xfId="2224"/>
    <cellStyle name="Обычный 6 2 4 2 2 3" xfId="353"/>
    <cellStyle name="Обычный 6 2 4 2 2 3 2" xfId="1209"/>
    <cellStyle name="Обычный 6 2 4 2 2 3 2 2" xfId="2923"/>
    <cellStyle name="Обычный 6 2 4 2 2 3 3" xfId="2068"/>
    <cellStyle name="Обычный 6 2 4 2 2 4" xfId="696"/>
    <cellStyle name="Обычный 6 2 4 2 2 4 2" xfId="1551"/>
    <cellStyle name="Обычный 6 2 4 2 2 4 2 2" xfId="3265"/>
    <cellStyle name="Обычный 6 2 4 2 2 4 3" xfId="2410"/>
    <cellStyle name="Обычный 6 2 4 2 2 5" xfId="1038"/>
    <cellStyle name="Обычный 6 2 4 2 2 5 2" xfId="2752"/>
    <cellStyle name="Обычный 6 2 4 2 2 6" xfId="1897"/>
    <cellStyle name="Обычный 6 2 4 2 3" xfId="183"/>
    <cellStyle name="Обычный 6 2 4 2 3 2" xfId="511"/>
    <cellStyle name="Обычный 6 2 4 2 3 2 2" xfId="853"/>
    <cellStyle name="Обычный 6 2 4 2 3 2 2 2" xfId="1708"/>
    <cellStyle name="Обычный 6 2 4 2 3 2 2 2 2" xfId="3422"/>
    <cellStyle name="Обычный 6 2 4 2 3 2 2 3" xfId="2567"/>
    <cellStyle name="Обычный 6 2 4 2 3 2 3" xfId="1366"/>
    <cellStyle name="Обычный 6 2 4 2 3 2 3 2" xfId="3080"/>
    <cellStyle name="Обычный 6 2 4 2 3 2 4" xfId="2225"/>
    <cellStyle name="Обычный 6 2 4 2 3 3" xfId="354"/>
    <cellStyle name="Обычный 6 2 4 2 3 3 2" xfId="1210"/>
    <cellStyle name="Обычный 6 2 4 2 3 3 2 2" xfId="2924"/>
    <cellStyle name="Обычный 6 2 4 2 3 3 3" xfId="2069"/>
    <cellStyle name="Обычный 6 2 4 2 3 4" xfId="697"/>
    <cellStyle name="Обычный 6 2 4 2 3 4 2" xfId="1552"/>
    <cellStyle name="Обычный 6 2 4 2 3 4 2 2" xfId="3266"/>
    <cellStyle name="Обычный 6 2 4 2 3 4 3" xfId="2411"/>
    <cellStyle name="Обычный 6 2 4 2 3 5" xfId="1039"/>
    <cellStyle name="Обычный 6 2 4 2 3 5 2" xfId="2753"/>
    <cellStyle name="Обычный 6 2 4 2 3 6" xfId="1898"/>
    <cellStyle name="Обычный 6 2 4 2 4" xfId="509"/>
    <cellStyle name="Обычный 6 2 4 2 4 2" xfId="851"/>
    <cellStyle name="Обычный 6 2 4 2 4 2 2" xfId="1706"/>
    <cellStyle name="Обычный 6 2 4 2 4 2 2 2" xfId="3420"/>
    <cellStyle name="Обычный 6 2 4 2 4 2 3" xfId="2565"/>
    <cellStyle name="Обычный 6 2 4 2 4 3" xfId="1364"/>
    <cellStyle name="Обычный 6 2 4 2 4 3 2" xfId="3078"/>
    <cellStyle name="Обычный 6 2 4 2 4 4" xfId="2223"/>
    <cellStyle name="Обычный 6 2 4 2 5" xfId="352"/>
    <cellStyle name="Обычный 6 2 4 2 5 2" xfId="1208"/>
    <cellStyle name="Обычный 6 2 4 2 5 2 2" xfId="2922"/>
    <cellStyle name="Обычный 6 2 4 2 5 3" xfId="2067"/>
    <cellStyle name="Обычный 6 2 4 2 6" xfId="695"/>
    <cellStyle name="Обычный 6 2 4 2 6 2" xfId="1550"/>
    <cellStyle name="Обычный 6 2 4 2 6 2 2" xfId="3264"/>
    <cellStyle name="Обычный 6 2 4 2 6 3" xfId="2409"/>
    <cellStyle name="Обычный 6 2 4 2 7" xfId="1037"/>
    <cellStyle name="Обычный 6 2 4 2 7 2" xfId="2751"/>
    <cellStyle name="Обычный 6 2 4 2 8" xfId="1896"/>
    <cellStyle name="Обычный 6 2 4 3" xfId="184"/>
    <cellStyle name="Обычный 6 2 4 3 2" xfId="512"/>
    <cellStyle name="Обычный 6 2 4 3 2 2" xfId="854"/>
    <cellStyle name="Обычный 6 2 4 3 2 2 2" xfId="1709"/>
    <cellStyle name="Обычный 6 2 4 3 2 2 2 2" xfId="3423"/>
    <cellStyle name="Обычный 6 2 4 3 2 2 3" xfId="2568"/>
    <cellStyle name="Обычный 6 2 4 3 2 3" xfId="1367"/>
    <cellStyle name="Обычный 6 2 4 3 2 3 2" xfId="3081"/>
    <cellStyle name="Обычный 6 2 4 3 2 4" xfId="2226"/>
    <cellStyle name="Обычный 6 2 4 3 3" xfId="355"/>
    <cellStyle name="Обычный 6 2 4 3 3 2" xfId="1211"/>
    <cellStyle name="Обычный 6 2 4 3 3 2 2" xfId="2925"/>
    <cellStyle name="Обычный 6 2 4 3 3 3" xfId="2070"/>
    <cellStyle name="Обычный 6 2 4 3 4" xfId="698"/>
    <cellStyle name="Обычный 6 2 4 3 4 2" xfId="1553"/>
    <cellStyle name="Обычный 6 2 4 3 4 2 2" xfId="3267"/>
    <cellStyle name="Обычный 6 2 4 3 4 3" xfId="2412"/>
    <cellStyle name="Обычный 6 2 4 3 5" xfId="1040"/>
    <cellStyle name="Обычный 6 2 4 3 5 2" xfId="2754"/>
    <cellStyle name="Обычный 6 2 4 3 6" xfId="1899"/>
    <cellStyle name="Обычный 6 2 4 4" xfId="185"/>
    <cellStyle name="Обычный 6 2 4 4 2" xfId="513"/>
    <cellStyle name="Обычный 6 2 4 4 2 2" xfId="855"/>
    <cellStyle name="Обычный 6 2 4 4 2 2 2" xfId="1710"/>
    <cellStyle name="Обычный 6 2 4 4 2 2 2 2" xfId="3424"/>
    <cellStyle name="Обычный 6 2 4 4 2 2 3" xfId="2569"/>
    <cellStyle name="Обычный 6 2 4 4 2 3" xfId="1368"/>
    <cellStyle name="Обычный 6 2 4 4 2 3 2" xfId="3082"/>
    <cellStyle name="Обычный 6 2 4 4 2 4" xfId="2227"/>
    <cellStyle name="Обычный 6 2 4 4 3" xfId="356"/>
    <cellStyle name="Обычный 6 2 4 4 3 2" xfId="1212"/>
    <cellStyle name="Обычный 6 2 4 4 3 2 2" xfId="2926"/>
    <cellStyle name="Обычный 6 2 4 4 3 3" xfId="2071"/>
    <cellStyle name="Обычный 6 2 4 4 4" xfId="699"/>
    <cellStyle name="Обычный 6 2 4 4 4 2" xfId="1554"/>
    <cellStyle name="Обычный 6 2 4 4 4 2 2" xfId="3268"/>
    <cellStyle name="Обычный 6 2 4 4 4 3" xfId="2413"/>
    <cellStyle name="Обычный 6 2 4 4 5" xfId="1041"/>
    <cellStyle name="Обычный 6 2 4 4 5 2" xfId="2755"/>
    <cellStyle name="Обычный 6 2 4 4 6" xfId="1900"/>
    <cellStyle name="Обычный 6 2 4 5" xfId="508"/>
    <cellStyle name="Обычный 6 2 4 5 2" xfId="850"/>
    <cellStyle name="Обычный 6 2 4 5 2 2" xfId="1705"/>
    <cellStyle name="Обычный 6 2 4 5 2 2 2" xfId="3419"/>
    <cellStyle name="Обычный 6 2 4 5 2 3" xfId="2564"/>
    <cellStyle name="Обычный 6 2 4 5 3" xfId="1363"/>
    <cellStyle name="Обычный 6 2 4 5 3 2" xfId="3077"/>
    <cellStyle name="Обычный 6 2 4 5 4" xfId="2222"/>
    <cellStyle name="Обычный 6 2 4 6" xfId="292"/>
    <cellStyle name="Обычный 6 2 4 6 2" xfId="1148"/>
    <cellStyle name="Обычный 6 2 4 6 2 2" xfId="2862"/>
    <cellStyle name="Обычный 6 2 4 6 3" xfId="2007"/>
    <cellStyle name="Обычный 6 2 4 7" xfId="635"/>
    <cellStyle name="Обычный 6 2 4 7 2" xfId="1490"/>
    <cellStyle name="Обычный 6 2 4 7 2 2" xfId="3204"/>
    <cellStyle name="Обычный 6 2 4 7 3" xfId="2349"/>
    <cellStyle name="Обычный 6 2 4 8" xfId="977"/>
    <cellStyle name="Обычный 6 2 4 8 2" xfId="2691"/>
    <cellStyle name="Обычный 6 2 4 9" xfId="1836"/>
    <cellStyle name="Обычный 6 2 5" xfId="114"/>
    <cellStyle name="Обычный 6 2 5 2" xfId="186"/>
    <cellStyle name="Обычный 6 2 5 2 2" xfId="187"/>
    <cellStyle name="Обычный 6 2 5 2 2 2" xfId="516"/>
    <cellStyle name="Обычный 6 2 5 2 2 2 2" xfId="858"/>
    <cellStyle name="Обычный 6 2 5 2 2 2 2 2" xfId="1713"/>
    <cellStyle name="Обычный 6 2 5 2 2 2 2 2 2" xfId="3427"/>
    <cellStyle name="Обычный 6 2 5 2 2 2 2 3" xfId="2572"/>
    <cellStyle name="Обычный 6 2 5 2 2 2 3" xfId="1371"/>
    <cellStyle name="Обычный 6 2 5 2 2 2 3 2" xfId="3085"/>
    <cellStyle name="Обычный 6 2 5 2 2 2 4" xfId="2230"/>
    <cellStyle name="Обычный 6 2 5 2 2 3" xfId="358"/>
    <cellStyle name="Обычный 6 2 5 2 2 3 2" xfId="1214"/>
    <cellStyle name="Обычный 6 2 5 2 2 3 2 2" xfId="2928"/>
    <cellStyle name="Обычный 6 2 5 2 2 3 3" xfId="2073"/>
    <cellStyle name="Обычный 6 2 5 2 2 4" xfId="701"/>
    <cellStyle name="Обычный 6 2 5 2 2 4 2" xfId="1556"/>
    <cellStyle name="Обычный 6 2 5 2 2 4 2 2" xfId="3270"/>
    <cellStyle name="Обычный 6 2 5 2 2 4 3" xfId="2415"/>
    <cellStyle name="Обычный 6 2 5 2 2 5" xfId="1043"/>
    <cellStyle name="Обычный 6 2 5 2 2 5 2" xfId="2757"/>
    <cellStyle name="Обычный 6 2 5 2 2 6" xfId="1902"/>
    <cellStyle name="Обычный 6 2 5 2 3" xfId="188"/>
    <cellStyle name="Обычный 6 2 5 2 3 2" xfId="517"/>
    <cellStyle name="Обычный 6 2 5 2 3 2 2" xfId="859"/>
    <cellStyle name="Обычный 6 2 5 2 3 2 2 2" xfId="1714"/>
    <cellStyle name="Обычный 6 2 5 2 3 2 2 2 2" xfId="3428"/>
    <cellStyle name="Обычный 6 2 5 2 3 2 2 3" xfId="2573"/>
    <cellStyle name="Обычный 6 2 5 2 3 2 3" xfId="1372"/>
    <cellStyle name="Обычный 6 2 5 2 3 2 3 2" xfId="3086"/>
    <cellStyle name="Обычный 6 2 5 2 3 2 4" xfId="2231"/>
    <cellStyle name="Обычный 6 2 5 2 3 3" xfId="359"/>
    <cellStyle name="Обычный 6 2 5 2 3 3 2" xfId="1215"/>
    <cellStyle name="Обычный 6 2 5 2 3 3 2 2" xfId="2929"/>
    <cellStyle name="Обычный 6 2 5 2 3 3 3" xfId="2074"/>
    <cellStyle name="Обычный 6 2 5 2 3 4" xfId="702"/>
    <cellStyle name="Обычный 6 2 5 2 3 4 2" xfId="1557"/>
    <cellStyle name="Обычный 6 2 5 2 3 4 2 2" xfId="3271"/>
    <cellStyle name="Обычный 6 2 5 2 3 4 3" xfId="2416"/>
    <cellStyle name="Обычный 6 2 5 2 3 5" xfId="1044"/>
    <cellStyle name="Обычный 6 2 5 2 3 5 2" xfId="2758"/>
    <cellStyle name="Обычный 6 2 5 2 3 6" xfId="1903"/>
    <cellStyle name="Обычный 6 2 5 2 4" xfId="515"/>
    <cellStyle name="Обычный 6 2 5 2 4 2" xfId="857"/>
    <cellStyle name="Обычный 6 2 5 2 4 2 2" xfId="1712"/>
    <cellStyle name="Обычный 6 2 5 2 4 2 2 2" xfId="3426"/>
    <cellStyle name="Обычный 6 2 5 2 4 2 3" xfId="2571"/>
    <cellStyle name="Обычный 6 2 5 2 4 3" xfId="1370"/>
    <cellStyle name="Обычный 6 2 5 2 4 3 2" xfId="3084"/>
    <cellStyle name="Обычный 6 2 5 2 4 4" xfId="2229"/>
    <cellStyle name="Обычный 6 2 5 2 5" xfId="357"/>
    <cellStyle name="Обычный 6 2 5 2 5 2" xfId="1213"/>
    <cellStyle name="Обычный 6 2 5 2 5 2 2" xfId="2927"/>
    <cellStyle name="Обычный 6 2 5 2 5 3" xfId="2072"/>
    <cellStyle name="Обычный 6 2 5 2 6" xfId="700"/>
    <cellStyle name="Обычный 6 2 5 2 6 2" xfId="1555"/>
    <cellStyle name="Обычный 6 2 5 2 6 2 2" xfId="3269"/>
    <cellStyle name="Обычный 6 2 5 2 6 3" xfId="2414"/>
    <cellStyle name="Обычный 6 2 5 2 7" xfId="1042"/>
    <cellStyle name="Обычный 6 2 5 2 7 2" xfId="2756"/>
    <cellStyle name="Обычный 6 2 5 2 8" xfId="1901"/>
    <cellStyle name="Обычный 6 2 5 3" xfId="189"/>
    <cellStyle name="Обычный 6 2 5 3 2" xfId="518"/>
    <cellStyle name="Обычный 6 2 5 3 2 2" xfId="860"/>
    <cellStyle name="Обычный 6 2 5 3 2 2 2" xfId="1715"/>
    <cellStyle name="Обычный 6 2 5 3 2 2 2 2" xfId="3429"/>
    <cellStyle name="Обычный 6 2 5 3 2 2 3" xfId="2574"/>
    <cellStyle name="Обычный 6 2 5 3 2 3" xfId="1373"/>
    <cellStyle name="Обычный 6 2 5 3 2 3 2" xfId="3087"/>
    <cellStyle name="Обычный 6 2 5 3 2 4" xfId="2232"/>
    <cellStyle name="Обычный 6 2 5 3 3" xfId="360"/>
    <cellStyle name="Обычный 6 2 5 3 3 2" xfId="1216"/>
    <cellStyle name="Обычный 6 2 5 3 3 2 2" xfId="2930"/>
    <cellStyle name="Обычный 6 2 5 3 3 3" xfId="2075"/>
    <cellStyle name="Обычный 6 2 5 3 4" xfId="703"/>
    <cellStyle name="Обычный 6 2 5 3 4 2" xfId="1558"/>
    <cellStyle name="Обычный 6 2 5 3 4 2 2" xfId="3272"/>
    <cellStyle name="Обычный 6 2 5 3 4 3" xfId="2417"/>
    <cellStyle name="Обычный 6 2 5 3 5" xfId="1045"/>
    <cellStyle name="Обычный 6 2 5 3 5 2" xfId="2759"/>
    <cellStyle name="Обычный 6 2 5 3 6" xfId="1904"/>
    <cellStyle name="Обычный 6 2 5 4" xfId="190"/>
    <cellStyle name="Обычный 6 2 5 4 2" xfId="519"/>
    <cellStyle name="Обычный 6 2 5 4 2 2" xfId="861"/>
    <cellStyle name="Обычный 6 2 5 4 2 2 2" xfId="1716"/>
    <cellStyle name="Обычный 6 2 5 4 2 2 2 2" xfId="3430"/>
    <cellStyle name="Обычный 6 2 5 4 2 2 3" xfId="2575"/>
    <cellStyle name="Обычный 6 2 5 4 2 3" xfId="1374"/>
    <cellStyle name="Обычный 6 2 5 4 2 3 2" xfId="3088"/>
    <cellStyle name="Обычный 6 2 5 4 2 4" xfId="2233"/>
    <cellStyle name="Обычный 6 2 5 4 3" xfId="361"/>
    <cellStyle name="Обычный 6 2 5 4 3 2" xfId="1217"/>
    <cellStyle name="Обычный 6 2 5 4 3 2 2" xfId="2931"/>
    <cellStyle name="Обычный 6 2 5 4 3 3" xfId="2076"/>
    <cellStyle name="Обычный 6 2 5 4 4" xfId="704"/>
    <cellStyle name="Обычный 6 2 5 4 4 2" xfId="1559"/>
    <cellStyle name="Обычный 6 2 5 4 4 2 2" xfId="3273"/>
    <cellStyle name="Обычный 6 2 5 4 4 3" xfId="2418"/>
    <cellStyle name="Обычный 6 2 5 4 5" xfId="1046"/>
    <cellStyle name="Обычный 6 2 5 4 5 2" xfId="2760"/>
    <cellStyle name="Обычный 6 2 5 4 6" xfId="1905"/>
    <cellStyle name="Обычный 6 2 5 5" xfId="514"/>
    <cellStyle name="Обычный 6 2 5 5 2" xfId="856"/>
    <cellStyle name="Обычный 6 2 5 5 2 2" xfId="1711"/>
    <cellStyle name="Обычный 6 2 5 5 2 2 2" xfId="3425"/>
    <cellStyle name="Обычный 6 2 5 5 2 3" xfId="2570"/>
    <cellStyle name="Обычный 6 2 5 5 3" xfId="1369"/>
    <cellStyle name="Обычный 6 2 5 5 3 2" xfId="3083"/>
    <cellStyle name="Обычный 6 2 5 5 4" xfId="2228"/>
    <cellStyle name="Обычный 6 2 5 6" xfId="285"/>
    <cellStyle name="Обычный 6 2 5 6 2" xfId="1141"/>
    <cellStyle name="Обычный 6 2 5 6 2 2" xfId="2855"/>
    <cellStyle name="Обычный 6 2 5 6 3" xfId="2000"/>
    <cellStyle name="Обычный 6 2 5 7" xfId="628"/>
    <cellStyle name="Обычный 6 2 5 7 2" xfId="1483"/>
    <cellStyle name="Обычный 6 2 5 7 2 2" xfId="3197"/>
    <cellStyle name="Обычный 6 2 5 7 3" xfId="2342"/>
    <cellStyle name="Обычный 6 2 5 8" xfId="970"/>
    <cellStyle name="Обычный 6 2 5 8 2" xfId="2684"/>
    <cellStyle name="Обычный 6 2 5 9" xfId="1829"/>
    <cellStyle name="Обычный 6 2 6" xfId="191"/>
    <cellStyle name="Обычный 6 2 6 2" xfId="192"/>
    <cellStyle name="Обычный 6 2 6 2 2" xfId="521"/>
    <cellStyle name="Обычный 6 2 6 2 2 2" xfId="863"/>
    <cellStyle name="Обычный 6 2 6 2 2 2 2" xfId="1718"/>
    <cellStyle name="Обычный 6 2 6 2 2 2 2 2" xfId="3432"/>
    <cellStyle name="Обычный 6 2 6 2 2 2 3" xfId="2577"/>
    <cellStyle name="Обычный 6 2 6 2 2 3" xfId="1376"/>
    <cellStyle name="Обычный 6 2 6 2 2 3 2" xfId="3090"/>
    <cellStyle name="Обычный 6 2 6 2 2 4" xfId="2235"/>
    <cellStyle name="Обычный 6 2 6 2 3" xfId="363"/>
    <cellStyle name="Обычный 6 2 6 2 3 2" xfId="1219"/>
    <cellStyle name="Обычный 6 2 6 2 3 2 2" xfId="2933"/>
    <cellStyle name="Обычный 6 2 6 2 3 3" xfId="2078"/>
    <cellStyle name="Обычный 6 2 6 2 4" xfId="706"/>
    <cellStyle name="Обычный 6 2 6 2 4 2" xfId="1561"/>
    <cellStyle name="Обычный 6 2 6 2 4 2 2" xfId="3275"/>
    <cellStyle name="Обычный 6 2 6 2 4 3" xfId="2420"/>
    <cellStyle name="Обычный 6 2 6 2 5" xfId="1048"/>
    <cellStyle name="Обычный 6 2 6 2 5 2" xfId="2762"/>
    <cellStyle name="Обычный 6 2 6 2 6" xfId="1907"/>
    <cellStyle name="Обычный 6 2 6 3" xfId="193"/>
    <cellStyle name="Обычный 6 2 6 3 2" xfId="522"/>
    <cellStyle name="Обычный 6 2 6 3 2 2" xfId="864"/>
    <cellStyle name="Обычный 6 2 6 3 2 2 2" xfId="1719"/>
    <cellStyle name="Обычный 6 2 6 3 2 2 2 2" xfId="3433"/>
    <cellStyle name="Обычный 6 2 6 3 2 2 3" xfId="2578"/>
    <cellStyle name="Обычный 6 2 6 3 2 3" xfId="1377"/>
    <cellStyle name="Обычный 6 2 6 3 2 3 2" xfId="3091"/>
    <cellStyle name="Обычный 6 2 6 3 2 4" xfId="2236"/>
    <cellStyle name="Обычный 6 2 6 3 3" xfId="364"/>
    <cellStyle name="Обычный 6 2 6 3 3 2" xfId="1220"/>
    <cellStyle name="Обычный 6 2 6 3 3 2 2" xfId="2934"/>
    <cellStyle name="Обычный 6 2 6 3 3 3" xfId="2079"/>
    <cellStyle name="Обычный 6 2 6 3 4" xfId="707"/>
    <cellStyle name="Обычный 6 2 6 3 4 2" xfId="1562"/>
    <cellStyle name="Обычный 6 2 6 3 4 2 2" xfId="3276"/>
    <cellStyle name="Обычный 6 2 6 3 4 3" xfId="2421"/>
    <cellStyle name="Обычный 6 2 6 3 5" xfId="1049"/>
    <cellStyle name="Обычный 6 2 6 3 5 2" xfId="2763"/>
    <cellStyle name="Обычный 6 2 6 3 6" xfId="1908"/>
    <cellStyle name="Обычный 6 2 6 4" xfId="520"/>
    <cellStyle name="Обычный 6 2 6 4 2" xfId="862"/>
    <cellStyle name="Обычный 6 2 6 4 2 2" xfId="1717"/>
    <cellStyle name="Обычный 6 2 6 4 2 2 2" xfId="3431"/>
    <cellStyle name="Обычный 6 2 6 4 2 3" xfId="2576"/>
    <cellStyle name="Обычный 6 2 6 4 3" xfId="1375"/>
    <cellStyle name="Обычный 6 2 6 4 3 2" xfId="3089"/>
    <cellStyle name="Обычный 6 2 6 4 4" xfId="2234"/>
    <cellStyle name="Обычный 6 2 6 5" xfId="362"/>
    <cellStyle name="Обычный 6 2 6 5 2" xfId="1218"/>
    <cellStyle name="Обычный 6 2 6 5 2 2" xfId="2932"/>
    <cellStyle name="Обычный 6 2 6 5 3" xfId="2077"/>
    <cellStyle name="Обычный 6 2 6 6" xfId="705"/>
    <cellStyle name="Обычный 6 2 6 6 2" xfId="1560"/>
    <cellStyle name="Обычный 6 2 6 6 2 2" xfId="3274"/>
    <cellStyle name="Обычный 6 2 6 6 3" xfId="2419"/>
    <cellStyle name="Обычный 6 2 6 7" xfId="1047"/>
    <cellStyle name="Обычный 6 2 6 7 2" xfId="2761"/>
    <cellStyle name="Обычный 6 2 6 8" xfId="1906"/>
    <cellStyle name="Обычный 6 2 7" xfId="194"/>
    <cellStyle name="Обычный 6 2 7 2" xfId="523"/>
    <cellStyle name="Обычный 6 2 7 2 2" xfId="865"/>
    <cellStyle name="Обычный 6 2 7 2 2 2" xfId="1720"/>
    <cellStyle name="Обычный 6 2 7 2 2 2 2" xfId="3434"/>
    <cellStyle name="Обычный 6 2 7 2 2 3" xfId="2579"/>
    <cellStyle name="Обычный 6 2 7 2 3" xfId="1378"/>
    <cellStyle name="Обычный 6 2 7 2 3 2" xfId="3092"/>
    <cellStyle name="Обычный 6 2 7 2 4" xfId="2237"/>
    <cellStyle name="Обычный 6 2 7 3" xfId="365"/>
    <cellStyle name="Обычный 6 2 7 3 2" xfId="1221"/>
    <cellStyle name="Обычный 6 2 7 3 2 2" xfId="2935"/>
    <cellStyle name="Обычный 6 2 7 3 3" xfId="2080"/>
    <cellStyle name="Обычный 6 2 7 4" xfId="708"/>
    <cellStyle name="Обычный 6 2 7 4 2" xfId="1563"/>
    <cellStyle name="Обычный 6 2 7 4 2 2" xfId="3277"/>
    <cellStyle name="Обычный 6 2 7 4 3" xfId="2422"/>
    <cellStyle name="Обычный 6 2 7 5" xfId="1050"/>
    <cellStyle name="Обычный 6 2 7 5 2" xfId="2764"/>
    <cellStyle name="Обычный 6 2 7 6" xfId="1909"/>
    <cellStyle name="Обычный 6 2 8" xfId="195"/>
    <cellStyle name="Обычный 6 2 8 2" xfId="524"/>
    <cellStyle name="Обычный 6 2 8 2 2" xfId="866"/>
    <cellStyle name="Обычный 6 2 8 2 2 2" xfId="1721"/>
    <cellStyle name="Обычный 6 2 8 2 2 2 2" xfId="3435"/>
    <cellStyle name="Обычный 6 2 8 2 2 3" xfId="2580"/>
    <cellStyle name="Обычный 6 2 8 2 3" xfId="1379"/>
    <cellStyle name="Обычный 6 2 8 2 3 2" xfId="3093"/>
    <cellStyle name="Обычный 6 2 8 2 4" xfId="2238"/>
    <cellStyle name="Обычный 6 2 8 3" xfId="366"/>
    <cellStyle name="Обычный 6 2 8 3 2" xfId="1222"/>
    <cellStyle name="Обычный 6 2 8 3 2 2" xfId="2936"/>
    <cellStyle name="Обычный 6 2 8 3 3" xfId="2081"/>
    <cellStyle name="Обычный 6 2 8 4" xfId="709"/>
    <cellStyle name="Обычный 6 2 8 4 2" xfId="1564"/>
    <cellStyle name="Обычный 6 2 8 4 2 2" xfId="3278"/>
    <cellStyle name="Обычный 6 2 8 4 3" xfId="2423"/>
    <cellStyle name="Обычный 6 2 8 5" xfId="1051"/>
    <cellStyle name="Обычный 6 2 8 5 2" xfId="2765"/>
    <cellStyle name="Обычный 6 2 8 6" xfId="1910"/>
    <cellStyle name="Обычный 6 2 9" xfId="196"/>
    <cellStyle name="Обычный 6 2 9 2" xfId="525"/>
    <cellStyle name="Обычный 6 2 9 2 2" xfId="867"/>
    <cellStyle name="Обычный 6 2 9 2 2 2" xfId="1722"/>
    <cellStyle name="Обычный 6 2 9 2 2 2 2" xfId="3436"/>
    <cellStyle name="Обычный 6 2 9 2 2 3" xfId="2581"/>
    <cellStyle name="Обычный 6 2 9 2 3" xfId="1380"/>
    <cellStyle name="Обычный 6 2 9 2 3 2" xfId="3094"/>
    <cellStyle name="Обычный 6 2 9 2 4" xfId="2239"/>
    <cellStyle name="Обычный 6 2 9 3" xfId="367"/>
    <cellStyle name="Обычный 6 2 9 3 2" xfId="1223"/>
    <cellStyle name="Обычный 6 2 9 3 2 2" xfId="2937"/>
    <cellStyle name="Обычный 6 2 9 3 3" xfId="2082"/>
    <cellStyle name="Обычный 6 2 9 4" xfId="710"/>
    <cellStyle name="Обычный 6 2 9 4 2" xfId="1565"/>
    <cellStyle name="Обычный 6 2 9 4 2 2" xfId="3279"/>
    <cellStyle name="Обычный 6 2 9 4 3" xfId="2424"/>
    <cellStyle name="Обычный 6 2 9 5" xfId="1052"/>
    <cellStyle name="Обычный 6 2 9 5 2" xfId="2766"/>
    <cellStyle name="Обычный 6 2 9 6" xfId="1911"/>
    <cellStyle name="Обычный 6 3" xfId="118"/>
    <cellStyle name="Обычный 6 3 2" xfId="197"/>
    <cellStyle name="Обычный 6 3 2 2" xfId="198"/>
    <cellStyle name="Обычный 6 3 2 2 2" xfId="528"/>
    <cellStyle name="Обычный 6 3 2 2 2 2" xfId="870"/>
    <cellStyle name="Обычный 6 3 2 2 2 2 2" xfId="1725"/>
    <cellStyle name="Обычный 6 3 2 2 2 2 2 2" xfId="3439"/>
    <cellStyle name="Обычный 6 3 2 2 2 2 3" xfId="2584"/>
    <cellStyle name="Обычный 6 3 2 2 2 3" xfId="1383"/>
    <cellStyle name="Обычный 6 3 2 2 2 3 2" xfId="3097"/>
    <cellStyle name="Обычный 6 3 2 2 2 4" xfId="2242"/>
    <cellStyle name="Обычный 6 3 2 2 3" xfId="369"/>
    <cellStyle name="Обычный 6 3 2 2 3 2" xfId="1225"/>
    <cellStyle name="Обычный 6 3 2 2 3 2 2" xfId="2939"/>
    <cellStyle name="Обычный 6 3 2 2 3 3" xfId="2084"/>
    <cellStyle name="Обычный 6 3 2 2 4" xfId="712"/>
    <cellStyle name="Обычный 6 3 2 2 4 2" xfId="1567"/>
    <cellStyle name="Обычный 6 3 2 2 4 2 2" xfId="3281"/>
    <cellStyle name="Обычный 6 3 2 2 4 3" xfId="2426"/>
    <cellStyle name="Обычный 6 3 2 2 5" xfId="1054"/>
    <cellStyle name="Обычный 6 3 2 2 5 2" xfId="2768"/>
    <cellStyle name="Обычный 6 3 2 2 6" xfId="1913"/>
    <cellStyle name="Обычный 6 3 2 3" xfId="199"/>
    <cellStyle name="Обычный 6 3 2 3 2" xfId="529"/>
    <cellStyle name="Обычный 6 3 2 3 2 2" xfId="871"/>
    <cellStyle name="Обычный 6 3 2 3 2 2 2" xfId="1726"/>
    <cellStyle name="Обычный 6 3 2 3 2 2 2 2" xfId="3440"/>
    <cellStyle name="Обычный 6 3 2 3 2 2 3" xfId="2585"/>
    <cellStyle name="Обычный 6 3 2 3 2 3" xfId="1384"/>
    <cellStyle name="Обычный 6 3 2 3 2 3 2" xfId="3098"/>
    <cellStyle name="Обычный 6 3 2 3 2 4" xfId="2243"/>
    <cellStyle name="Обычный 6 3 2 3 3" xfId="370"/>
    <cellStyle name="Обычный 6 3 2 3 3 2" xfId="1226"/>
    <cellStyle name="Обычный 6 3 2 3 3 2 2" xfId="2940"/>
    <cellStyle name="Обычный 6 3 2 3 3 3" xfId="2085"/>
    <cellStyle name="Обычный 6 3 2 3 4" xfId="713"/>
    <cellStyle name="Обычный 6 3 2 3 4 2" xfId="1568"/>
    <cellStyle name="Обычный 6 3 2 3 4 2 2" xfId="3282"/>
    <cellStyle name="Обычный 6 3 2 3 4 3" xfId="2427"/>
    <cellStyle name="Обычный 6 3 2 3 5" xfId="1055"/>
    <cellStyle name="Обычный 6 3 2 3 5 2" xfId="2769"/>
    <cellStyle name="Обычный 6 3 2 3 6" xfId="1914"/>
    <cellStyle name="Обычный 6 3 2 4" xfId="527"/>
    <cellStyle name="Обычный 6 3 2 4 2" xfId="869"/>
    <cellStyle name="Обычный 6 3 2 4 2 2" xfId="1724"/>
    <cellStyle name="Обычный 6 3 2 4 2 2 2" xfId="3438"/>
    <cellStyle name="Обычный 6 3 2 4 2 3" xfId="2583"/>
    <cellStyle name="Обычный 6 3 2 4 3" xfId="1382"/>
    <cellStyle name="Обычный 6 3 2 4 3 2" xfId="3096"/>
    <cellStyle name="Обычный 6 3 2 4 4" xfId="2241"/>
    <cellStyle name="Обычный 6 3 2 5" xfId="368"/>
    <cellStyle name="Обычный 6 3 2 5 2" xfId="1224"/>
    <cellStyle name="Обычный 6 3 2 5 2 2" xfId="2938"/>
    <cellStyle name="Обычный 6 3 2 5 3" xfId="2083"/>
    <cellStyle name="Обычный 6 3 2 6" xfId="711"/>
    <cellStyle name="Обычный 6 3 2 6 2" xfId="1566"/>
    <cellStyle name="Обычный 6 3 2 6 2 2" xfId="3280"/>
    <cellStyle name="Обычный 6 3 2 6 3" xfId="2425"/>
    <cellStyle name="Обычный 6 3 2 7" xfId="1053"/>
    <cellStyle name="Обычный 6 3 2 7 2" xfId="2767"/>
    <cellStyle name="Обычный 6 3 2 8" xfId="1912"/>
    <cellStyle name="Обычный 6 3 3" xfId="200"/>
    <cellStyle name="Обычный 6 3 3 2" xfId="530"/>
    <cellStyle name="Обычный 6 3 3 2 2" xfId="872"/>
    <cellStyle name="Обычный 6 3 3 2 2 2" xfId="1727"/>
    <cellStyle name="Обычный 6 3 3 2 2 2 2" xfId="3441"/>
    <cellStyle name="Обычный 6 3 3 2 2 3" xfId="2586"/>
    <cellStyle name="Обычный 6 3 3 2 3" xfId="1385"/>
    <cellStyle name="Обычный 6 3 3 2 3 2" xfId="3099"/>
    <cellStyle name="Обычный 6 3 3 2 4" xfId="2244"/>
    <cellStyle name="Обычный 6 3 3 3" xfId="371"/>
    <cellStyle name="Обычный 6 3 3 3 2" xfId="1227"/>
    <cellStyle name="Обычный 6 3 3 3 2 2" xfId="2941"/>
    <cellStyle name="Обычный 6 3 3 3 3" xfId="2086"/>
    <cellStyle name="Обычный 6 3 3 4" xfId="714"/>
    <cellStyle name="Обычный 6 3 3 4 2" xfId="1569"/>
    <cellStyle name="Обычный 6 3 3 4 2 2" xfId="3283"/>
    <cellStyle name="Обычный 6 3 3 4 3" xfId="2428"/>
    <cellStyle name="Обычный 6 3 3 5" xfId="1056"/>
    <cellStyle name="Обычный 6 3 3 5 2" xfId="2770"/>
    <cellStyle name="Обычный 6 3 3 6" xfId="1915"/>
    <cellStyle name="Обычный 6 3 4" xfId="201"/>
    <cellStyle name="Обычный 6 3 4 2" xfId="531"/>
    <cellStyle name="Обычный 6 3 4 2 2" xfId="873"/>
    <cellStyle name="Обычный 6 3 4 2 2 2" xfId="1728"/>
    <cellStyle name="Обычный 6 3 4 2 2 2 2" xfId="3442"/>
    <cellStyle name="Обычный 6 3 4 2 2 3" xfId="2587"/>
    <cellStyle name="Обычный 6 3 4 2 3" xfId="1386"/>
    <cellStyle name="Обычный 6 3 4 2 3 2" xfId="3100"/>
    <cellStyle name="Обычный 6 3 4 2 4" xfId="2245"/>
    <cellStyle name="Обычный 6 3 4 3" xfId="372"/>
    <cellStyle name="Обычный 6 3 4 3 2" xfId="1228"/>
    <cellStyle name="Обычный 6 3 4 3 2 2" xfId="2942"/>
    <cellStyle name="Обычный 6 3 4 3 3" xfId="2087"/>
    <cellStyle name="Обычный 6 3 4 4" xfId="715"/>
    <cellStyle name="Обычный 6 3 4 4 2" xfId="1570"/>
    <cellStyle name="Обычный 6 3 4 4 2 2" xfId="3284"/>
    <cellStyle name="Обычный 6 3 4 4 3" xfId="2429"/>
    <cellStyle name="Обычный 6 3 4 5" xfId="1057"/>
    <cellStyle name="Обычный 6 3 4 5 2" xfId="2771"/>
    <cellStyle name="Обычный 6 3 4 6" xfId="1916"/>
    <cellStyle name="Обычный 6 3 5" xfId="526"/>
    <cellStyle name="Обычный 6 3 5 2" xfId="868"/>
    <cellStyle name="Обычный 6 3 5 2 2" xfId="1723"/>
    <cellStyle name="Обычный 6 3 5 2 2 2" xfId="3437"/>
    <cellStyle name="Обычный 6 3 5 2 3" xfId="2582"/>
    <cellStyle name="Обычный 6 3 5 3" xfId="1381"/>
    <cellStyle name="Обычный 6 3 5 3 2" xfId="3095"/>
    <cellStyle name="Обычный 6 3 5 4" xfId="2240"/>
    <cellStyle name="Обычный 6 3 6" xfId="289"/>
    <cellStyle name="Обычный 6 3 6 2" xfId="1145"/>
    <cellStyle name="Обычный 6 3 6 2 2" xfId="2859"/>
    <cellStyle name="Обычный 6 3 6 3" xfId="2004"/>
    <cellStyle name="Обычный 6 3 7" xfId="632"/>
    <cellStyle name="Обычный 6 3 7 2" xfId="1487"/>
    <cellStyle name="Обычный 6 3 7 2 2" xfId="3201"/>
    <cellStyle name="Обычный 6 3 7 3" xfId="2346"/>
    <cellStyle name="Обычный 6 3 8" xfId="974"/>
    <cellStyle name="Обычный 6 3 8 2" xfId="2688"/>
    <cellStyle name="Обычный 6 3 9" xfId="1833"/>
    <cellStyle name="Обычный 6 4" xfId="111"/>
    <cellStyle name="Обычный 6 4 2" xfId="202"/>
    <cellStyle name="Обычный 6 4 2 2" xfId="203"/>
    <cellStyle name="Обычный 6 4 2 2 2" xfId="534"/>
    <cellStyle name="Обычный 6 4 2 2 2 2" xfId="876"/>
    <cellStyle name="Обычный 6 4 2 2 2 2 2" xfId="1731"/>
    <cellStyle name="Обычный 6 4 2 2 2 2 2 2" xfId="3445"/>
    <cellStyle name="Обычный 6 4 2 2 2 2 3" xfId="2590"/>
    <cellStyle name="Обычный 6 4 2 2 2 3" xfId="1389"/>
    <cellStyle name="Обычный 6 4 2 2 2 3 2" xfId="3103"/>
    <cellStyle name="Обычный 6 4 2 2 2 4" xfId="2248"/>
    <cellStyle name="Обычный 6 4 2 2 3" xfId="374"/>
    <cellStyle name="Обычный 6 4 2 2 3 2" xfId="1230"/>
    <cellStyle name="Обычный 6 4 2 2 3 2 2" xfId="2944"/>
    <cellStyle name="Обычный 6 4 2 2 3 3" xfId="2089"/>
    <cellStyle name="Обычный 6 4 2 2 4" xfId="717"/>
    <cellStyle name="Обычный 6 4 2 2 4 2" xfId="1572"/>
    <cellStyle name="Обычный 6 4 2 2 4 2 2" xfId="3286"/>
    <cellStyle name="Обычный 6 4 2 2 4 3" xfId="2431"/>
    <cellStyle name="Обычный 6 4 2 2 5" xfId="1059"/>
    <cellStyle name="Обычный 6 4 2 2 5 2" xfId="2773"/>
    <cellStyle name="Обычный 6 4 2 2 6" xfId="1918"/>
    <cellStyle name="Обычный 6 4 2 3" xfId="204"/>
    <cellStyle name="Обычный 6 4 2 3 2" xfId="535"/>
    <cellStyle name="Обычный 6 4 2 3 2 2" xfId="877"/>
    <cellStyle name="Обычный 6 4 2 3 2 2 2" xfId="1732"/>
    <cellStyle name="Обычный 6 4 2 3 2 2 2 2" xfId="3446"/>
    <cellStyle name="Обычный 6 4 2 3 2 2 3" xfId="2591"/>
    <cellStyle name="Обычный 6 4 2 3 2 3" xfId="1390"/>
    <cellStyle name="Обычный 6 4 2 3 2 3 2" xfId="3104"/>
    <cellStyle name="Обычный 6 4 2 3 2 4" xfId="2249"/>
    <cellStyle name="Обычный 6 4 2 3 3" xfId="375"/>
    <cellStyle name="Обычный 6 4 2 3 3 2" xfId="1231"/>
    <cellStyle name="Обычный 6 4 2 3 3 2 2" xfId="2945"/>
    <cellStyle name="Обычный 6 4 2 3 3 3" xfId="2090"/>
    <cellStyle name="Обычный 6 4 2 3 4" xfId="718"/>
    <cellStyle name="Обычный 6 4 2 3 4 2" xfId="1573"/>
    <cellStyle name="Обычный 6 4 2 3 4 2 2" xfId="3287"/>
    <cellStyle name="Обычный 6 4 2 3 4 3" xfId="2432"/>
    <cellStyle name="Обычный 6 4 2 3 5" xfId="1060"/>
    <cellStyle name="Обычный 6 4 2 3 5 2" xfId="2774"/>
    <cellStyle name="Обычный 6 4 2 3 6" xfId="1919"/>
    <cellStyle name="Обычный 6 4 2 4" xfId="533"/>
    <cellStyle name="Обычный 6 4 2 4 2" xfId="875"/>
    <cellStyle name="Обычный 6 4 2 4 2 2" xfId="1730"/>
    <cellStyle name="Обычный 6 4 2 4 2 2 2" xfId="3444"/>
    <cellStyle name="Обычный 6 4 2 4 2 3" xfId="2589"/>
    <cellStyle name="Обычный 6 4 2 4 3" xfId="1388"/>
    <cellStyle name="Обычный 6 4 2 4 3 2" xfId="3102"/>
    <cellStyle name="Обычный 6 4 2 4 4" xfId="2247"/>
    <cellStyle name="Обычный 6 4 2 5" xfId="373"/>
    <cellStyle name="Обычный 6 4 2 5 2" xfId="1229"/>
    <cellStyle name="Обычный 6 4 2 5 2 2" xfId="2943"/>
    <cellStyle name="Обычный 6 4 2 5 3" xfId="2088"/>
    <cellStyle name="Обычный 6 4 2 6" xfId="716"/>
    <cellStyle name="Обычный 6 4 2 6 2" xfId="1571"/>
    <cellStyle name="Обычный 6 4 2 6 2 2" xfId="3285"/>
    <cellStyle name="Обычный 6 4 2 6 3" xfId="2430"/>
    <cellStyle name="Обычный 6 4 2 7" xfId="1058"/>
    <cellStyle name="Обычный 6 4 2 7 2" xfId="2772"/>
    <cellStyle name="Обычный 6 4 2 8" xfId="1917"/>
    <cellStyle name="Обычный 6 4 3" xfId="205"/>
    <cellStyle name="Обычный 6 4 3 2" xfId="536"/>
    <cellStyle name="Обычный 6 4 3 2 2" xfId="878"/>
    <cellStyle name="Обычный 6 4 3 2 2 2" xfId="1733"/>
    <cellStyle name="Обычный 6 4 3 2 2 2 2" xfId="3447"/>
    <cellStyle name="Обычный 6 4 3 2 2 3" xfId="2592"/>
    <cellStyle name="Обычный 6 4 3 2 3" xfId="1391"/>
    <cellStyle name="Обычный 6 4 3 2 3 2" xfId="3105"/>
    <cellStyle name="Обычный 6 4 3 2 4" xfId="2250"/>
    <cellStyle name="Обычный 6 4 3 3" xfId="376"/>
    <cellStyle name="Обычный 6 4 3 3 2" xfId="1232"/>
    <cellStyle name="Обычный 6 4 3 3 2 2" xfId="2946"/>
    <cellStyle name="Обычный 6 4 3 3 3" xfId="2091"/>
    <cellStyle name="Обычный 6 4 3 4" xfId="719"/>
    <cellStyle name="Обычный 6 4 3 4 2" xfId="1574"/>
    <cellStyle name="Обычный 6 4 3 4 2 2" xfId="3288"/>
    <cellStyle name="Обычный 6 4 3 4 3" xfId="2433"/>
    <cellStyle name="Обычный 6 4 3 5" xfId="1061"/>
    <cellStyle name="Обычный 6 4 3 5 2" xfId="2775"/>
    <cellStyle name="Обычный 6 4 3 6" xfId="1920"/>
    <cellStyle name="Обычный 6 4 4" xfId="206"/>
    <cellStyle name="Обычный 6 4 4 2" xfId="537"/>
    <cellStyle name="Обычный 6 4 4 2 2" xfId="879"/>
    <cellStyle name="Обычный 6 4 4 2 2 2" xfId="1734"/>
    <cellStyle name="Обычный 6 4 4 2 2 2 2" xfId="3448"/>
    <cellStyle name="Обычный 6 4 4 2 2 3" xfId="2593"/>
    <cellStyle name="Обычный 6 4 4 2 3" xfId="1392"/>
    <cellStyle name="Обычный 6 4 4 2 3 2" xfId="3106"/>
    <cellStyle name="Обычный 6 4 4 2 4" xfId="2251"/>
    <cellStyle name="Обычный 6 4 4 3" xfId="377"/>
    <cellStyle name="Обычный 6 4 4 3 2" xfId="1233"/>
    <cellStyle name="Обычный 6 4 4 3 2 2" xfId="2947"/>
    <cellStyle name="Обычный 6 4 4 3 3" xfId="2092"/>
    <cellStyle name="Обычный 6 4 4 4" xfId="720"/>
    <cellStyle name="Обычный 6 4 4 4 2" xfId="1575"/>
    <cellStyle name="Обычный 6 4 4 4 2 2" xfId="3289"/>
    <cellStyle name="Обычный 6 4 4 4 3" xfId="2434"/>
    <cellStyle name="Обычный 6 4 4 5" xfId="1062"/>
    <cellStyle name="Обычный 6 4 4 5 2" xfId="2776"/>
    <cellStyle name="Обычный 6 4 4 6" xfId="1921"/>
    <cellStyle name="Обычный 6 4 5" xfId="532"/>
    <cellStyle name="Обычный 6 4 5 2" xfId="874"/>
    <cellStyle name="Обычный 6 4 5 2 2" xfId="1729"/>
    <cellStyle name="Обычный 6 4 5 2 2 2" xfId="3443"/>
    <cellStyle name="Обычный 6 4 5 2 3" xfId="2588"/>
    <cellStyle name="Обычный 6 4 5 3" xfId="1387"/>
    <cellStyle name="Обычный 6 4 5 3 2" xfId="3101"/>
    <cellStyle name="Обычный 6 4 5 4" xfId="2246"/>
    <cellStyle name="Обычный 6 4 6" xfId="282"/>
    <cellStyle name="Обычный 6 4 6 2" xfId="1138"/>
    <cellStyle name="Обычный 6 4 6 2 2" xfId="2852"/>
    <cellStyle name="Обычный 6 4 6 3" xfId="1997"/>
    <cellStyle name="Обычный 6 4 7" xfId="625"/>
    <cellStyle name="Обычный 6 4 7 2" xfId="1480"/>
    <cellStyle name="Обычный 6 4 7 2 2" xfId="3194"/>
    <cellStyle name="Обычный 6 4 7 3" xfId="2339"/>
    <cellStyle name="Обычный 6 4 8" xfId="967"/>
    <cellStyle name="Обычный 6 4 8 2" xfId="2681"/>
    <cellStyle name="Обычный 6 4 9" xfId="1826"/>
    <cellStyle name="Обычный 6 5" xfId="207"/>
    <cellStyle name="Обычный 6 5 2" xfId="208"/>
    <cellStyle name="Обычный 6 5 2 2" xfId="539"/>
    <cellStyle name="Обычный 6 5 2 2 2" xfId="881"/>
    <cellStyle name="Обычный 6 5 2 2 2 2" xfId="1736"/>
    <cellStyle name="Обычный 6 5 2 2 2 2 2" xfId="3450"/>
    <cellStyle name="Обычный 6 5 2 2 2 3" xfId="2595"/>
    <cellStyle name="Обычный 6 5 2 2 3" xfId="1394"/>
    <cellStyle name="Обычный 6 5 2 2 3 2" xfId="3108"/>
    <cellStyle name="Обычный 6 5 2 2 4" xfId="2253"/>
    <cellStyle name="Обычный 6 5 2 3" xfId="379"/>
    <cellStyle name="Обычный 6 5 2 3 2" xfId="1235"/>
    <cellStyle name="Обычный 6 5 2 3 2 2" xfId="2949"/>
    <cellStyle name="Обычный 6 5 2 3 3" xfId="2094"/>
    <cellStyle name="Обычный 6 5 2 4" xfId="722"/>
    <cellStyle name="Обычный 6 5 2 4 2" xfId="1577"/>
    <cellStyle name="Обычный 6 5 2 4 2 2" xfId="3291"/>
    <cellStyle name="Обычный 6 5 2 4 3" xfId="2436"/>
    <cellStyle name="Обычный 6 5 2 5" xfId="1064"/>
    <cellStyle name="Обычный 6 5 2 5 2" xfId="2778"/>
    <cellStyle name="Обычный 6 5 2 6" xfId="1923"/>
    <cellStyle name="Обычный 6 5 3" xfId="209"/>
    <cellStyle name="Обычный 6 5 3 2" xfId="540"/>
    <cellStyle name="Обычный 6 5 3 2 2" xfId="882"/>
    <cellStyle name="Обычный 6 5 3 2 2 2" xfId="1737"/>
    <cellStyle name="Обычный 6 5 3 2 2 2 2" xfId="3451"/>
    <cellStyle name="Обычный 6 5 3 2 2 3" xfId="2596"/>
    <cellStyle name="Обычный 6 5 3 2 3" xfId="1395"/>
    <cellStyle name="Обычный 6 5 3 2 3 2" xfId="3109"/>
    <cellStyle name="Обычный 6 5 3 2 4" xfId="2254"/>
    <cellStyle name="Обычный 6 5 3 3" xfId="380"/>
    <cellStyle name="Обычный 6 5 3 3 2" xfId="1236"/>
    <cellStyle name="Обычный 6 5 3 3 2 2" xfId="2950"/>
    <cellStyle name="Обычный 6 5 3 3 3" xfId="2095"/>
    <cellStyle name="Обычный 6 5 3 4" xfId="723"/>
    <cellStyle name="Обычный 6 5 3 4 2" xfId="1578"/>
    <cellStyle name="Обычный 6 5 3 4 2 2" xfId="3292"/>
    <cellStyle name="Обычный 6 5 3 4 3" xfId="2437"/>
    <cellStyle name="Обычный 6 5 3 5" xfId="1065"/>
    <cellStyle name="Обычный 6 5 3 5 2" xfId="2779"/>
    <cellStyle name="Обычный 6 5 3 6" xfId="1924"/>
    <cellStyle name="Обычный 6 5 4" xfId="538"/>
    <cellStyle name="Обычный 6 5 4 2" xfId="880"/>
    <cellStyle name="Обычный 6 5 4 2 2" xfId="1735"/>
    <cellStyle name="Обычный 6 5 4 2 2 2" xfId="3449"/>
    <cellStyle name="Обычный 6 5 4 2 3" xfId="2594"/>
    <cellStyle name="Обычный 6 5 4 3" xfId="1393"/>
    <cellStyle name="Обычный 6 5 4 3 2" xfId="3107"/>
    <cellStyle name="Обычный 6 5 4 4" xfId="2252"/>
    <cellStyle name="Обычный 6 5 5" xfId="378"/>
    <cellStyle name="Обычный 6 5 5 2" xfId="1234"/>
    <cellStyle name="Обычный 6 5 5 2 2" xfId="2948"/>
    <cellStyle name="Обычный 6 5 5 3" xfId="2093"/>
    <cellStyle name="Обычный 6 5 6" xfId="721"/>
    <cellStyle name="Обычный 6 5 6 2" xfId="1576"/>
    <cellStyle name="Обычный 6 5 6 2 2" xfId="3290"/>
    <cellStyle name="Обычный 6 5 6 3" xfId="2435"/>
    <cellStyle name="Обычный 6 5 7" xfId="1063"/>
    <cellStyle name="Обычный 6 5 7 2" xfId="2777"/>
    <cellStyle name="Обычный 6 5 8" xfId="1922"/>
    <cellStyle name="Обычный 6 6" xfId="210"/>
    <cellStyle name="Обычный 6 6 2" xfId="541"/>
    <cellStyle name="Обычный 6 6 2 2" xfId="883"/>
    <cellStyle name="Обычный 6 6 2 2 2" xfId="1738"/>
    <cellStyle name="Обычный 6 6 2 2 2 2" xfId="3452"/>
    <cellStyle name="Обычный 6 6 2 2 3" xfId="2597"/>
    <cellStyle name="Обычный 6 6 2 3" xfId="1396"/>
    <cellStyle name="Обычный 6 6 2 3 2" xfId="3110"/>
    <cellStyle name="Обычный 6 6 2 4" xfId="2255"/>
    <cellStyle name="Обычный 6 6 3" xfId="381"/>
    <cellStyle name="Обычный 6 6 3 2" xfId="1237"/>
    <cellStyle name="Обычный 6 6 3 2 2" xfId="2951"/>
    <cellStyle name="Обычный 6 6 3 3" xfId="2096"/>
    <cellStyle name="Обычный 6 6 4" xfId="724"/>
    <cellStyle name="Обычный 6 6 4 2" xfId="1579"/>
    <cellStyle name="Обычный 6 6 4 2 2" xfId="3293"/>
    <cellStyle name="Обычный 6 6 4 3" xfId="2438"/>
    <cellStyle name="Обычный 6 6 5" xfId="1066"/>
    <cellStyle name="Обычный 6 6 5 2" xfId="2780"/>
    <cellStyle name="Обычный 6 6 6" xfId="1925"/>
    <cellStyle name="Обычный 6 7" xfId="211"/>
    <cellStyle name="Обычный 6 7 2" xfId="542"/>
    <cellStyle name="Обычный 6 7 2 2" xfId="884"/>
    <cellStyle name="Обычный 6 7 2 2 2" xfId="1739"/>
    <cellStyle name="Обычный 6 7 2 2 2 2" xfId="3453"/>
    <cellStyle name="Обычный 6 7 2 2 3" xfId="2598"/>
    <cellStyle name="Обычный 6 7 2 3" xfId="1397"/>
    <cellStyle name="Обычный 6 7 2 3 2" xfId="3111"/>
    <cellStyle name="Обычный 6 7 2 4" xfId="2256"/>
    <cellStyle name="Обычный 6 7 3" xfId="382"/>
    <cellStyle name="Обычный 6 7 3 2" xfId="1238"/>
    <cellStyle name="Обычный 6 7 3 2 2" xfId="2952"/>
    <cellStyle name="Обычный 6 7 3 3" xfId="2097"/>
    <cellStyle name="Обычный 6 7 4" xfId="725"/>
    <cellStyle name="Обычный 6 7 4 2" xfId="1580"/>
    <cellStyle name="Обычный 6 7 4 2 2" xfId="3294"/>
    <cellStyle name="Обычный 6 7 4 3" xfId="2439"/>
    <cellStyle name="Обычный 6 7 5" xfId="1067"/>
    <cellStyle name="Обычный 6 7 5 2" xfId="2781"/>
    <cellStyle name="Обычный 6 7 6" xfId="1926"/>
    <cellStyle name="Обычный 6 8" xfId="212"/>
    <cellStyle name="Обычный 6 8 2" xfId="543"/>
    <cellStyle name="Обычный 6 8 2 2" xfId="885"/>
    <cellStyle name="Обычный 6 8 2 2 2" xfId="1740"/>
    <cellStyle name="Обычный 6 8 2 2 2 2" xfId="3454"/>
    <cellStyle name="Обычный 6 8 2 2 3" xfId="2599"/>
    <cellStyle name="Обычный 6 8 2 3" xfId="1398"/>
    <cellStyle name="Обычный 6 8 2 3 2" xfId="3112"/>
    <cellStyle name="Обычный 6 8 2 4" xfId="2257"/>
    <cellStyle name="Обычный 6 8 3" xfId="383"/>
    <cellStyle name="Обычный 6 8 3 2" xfId="1239"/>
    <cellStyle name="Обычный 6 8 3 2 2" xfId="2953"/>
    <cellStyle name="Обычный 6 8 3 3" xfId="2098"/>
    <cellStyle name="Обычный 6 8 4" xfId="726"/>
    <cellStyle name="Обычный 6 8 4 2" xfId="1581"/>
    <cellStyle name="Обычный 6 8 4 2 2" xfId="3295"/>
    <cellStyle name="Обычный 6 8 4 3" xfId="2440"/>
    <cellStyle name="Обычный 6 8 5" xfId="1068"/>
    <cellStyle name="Обычный 6 8 5 2" xfId="2782"/>
    <cellStyle name="Обычный 6 8 6" xfId="1927"/>
    <cellStyle name="Обычный 6 9" xfId="445"/>
    <cellStyle name="Обычный 7" xfId="55"/>
    <cellStyle name="Обычный 7 2" xfId="59"/>
    <cellStyle name="Обычный 7 2 10" xfId="620"/>
    <cellStyle name="Обычный 7 2 10 2" xfId="1475"/>
    <cellStyle name="Обычный 7 2 10 2 2" xfId="3189"/>
    <cellStyle name="Обычный 7 2 10 3" xfId="2334"/>
    <cellStyle name="Обычный 7 2 11" xfId="962"/>
    <cellStyle name="Обычный 7 2 11 2" xfId="2676"/>
    <cellStyle name="Обычный 7 2 12" xfId="1821"/>
    <cellStyle name="Обычный 7 2 2" xfId="123"/>
    <cellStyle name="Обычный 7 2 2 2" xfId="213"/>
    <cellStyle name="Обычный 7 2 2 2 2" xfId="214"/>
    <cellStyle name="Обычный 7 2 2 2 2 2" xfId="547"/>
    <cellStyle name="Обычный 7 2 2 2 2 2 2" xfId="889"/>
    <cellStyle name="Обычный 7 2 2 2 2 2 2 2" xfId="1744"/>
    <cellStyle name="Обычный 7 2 2 2 2 2 2 2 2" xfId="3458"/>
    <cellStyle name="Обычный 7 2 2 2 2 2 2 3" xfId="2603"/>
    <cellStyle name="Обычный 7 2 2 2 2 2 3" xfId="1402"/>
    <cellStyle name="Обычный 7 2 2 2 2 2 3 2" xfId="3116"/>
    <cellStyle name="Обычный 7 2 2 2 2 2 4" xfId="2261"/>
    <cellStyle name="Обычный 7 2 2 2 2 3" xfId="385"/>
    <cellStyle name="Обычный 7 2 2 2 2 3 2" xfId="1241"/>
    <cellStyle name="Обычный 7 2 2 2 2 3 2 2" xfId="2955"/>
    <cellStyle name="Обычный 7 2 2 2 2 3 3" xfId="2100"/>
    <cellStyle name="Обычный 7 2 2 2 2 4" xfId="728"/>
    <cellStyle name="Обычный 7 2 2 2 2 4 2" xfId="1583"/>
    <cellStyle name="Обычный 7 2 2 2 2 4 2 2" xfId="3297"/>
    <cellStyle name="Обычный 7 2 2 2 2 4 3" xfId="2442"/>
    <cellStyle name="Обычный 7 2 2 2 2 5" xfId="1070"/>
    <cellStyle name="Обычный 7 2 2 2 2 5 2" xfId="2784"/>
    <cellStyle name="Обычный 7 2 2 2 2 6" xfId="1929"/>
    <cellStyle name="Обычный 7 2 2 2 3" xfId="215"/>
    <cellStyle name="Обычный 7 2 2 2 3 2" xfId="548"/>
    <cellStyle name="Обычный 7 2 2 2 3 2 2" xfId="890"/>
    <cellStyle name="Обычный 7 2 2 2 3 2 2 2" xfId="1745"/>
    <cellStyle name="Обычный 7 2 2 2 3 2 2 2 2" xfId="3459"/>
    <cellStyle name="Обычный 7 2 2 2 3 2 2 3" xfId="2604"/>
    <cellStyle name="Обычный 7 2 2 2 3 2 3" xfId="1403"/>
    <cellStyle name="Обычный 7 2 2 2 3 2 3 2" xfId="3117"/>
    <cellStyle name="Обычный 7 2 2 2 3 2 4" xfId="2262"/>
    <cellStyle name="Обычный 7 2 2 2 3 3" xfId="386"/>
    <cellStyle name="Обычный 7 2 2 2 3 3 2" xfId="1242"/>
    <cellStyle name="Обычный 7 2 2 2 3 3 2 2" xfId="2956"/>
    <cellStyle name="Обычный 7 2 2 2 3 3 3" xfId="2101"/>
    <cellStyle name="Обычный 7 2 2 2 3 4" xfId="729"/>
    <cellStyle name="Обычный 7 2 2 2 3 4 2" xfId="1584"/>
    <cellStyle name="Обычный 7 2 2 2 3 4 2 2" xfId="3298"/>
    <cellStyle name="Обычный 7 2 2 2 3 4 3" xfId="2443"/>
    <cellStyle name="Обычный 7 2 2 2 3 5" xfId="1071"/>
    <cellStyle name="Обычный 7 2 2 2 3 5 2" xfId="2785"/>
    <cellStyle name="Обычный 7 2 2 2 3 6" xfId="1930"/>
    <cellStyle name="Обычный 7 2 2 2 4" xfId="546"/>
    <cellStyle name="Обычный 7 2 2 2 4 2" xfId="888"/>
    <cellStyle name="Обычный 7 2 2 2 4 2 2" xfId="1743"/>
    <cellStyle name="Обычный 7 2 2 2 4 2 2 2" xfId="3457"/>
    <cellStyle name="Обычный 7 2 2 2 4 2 3" xfId="2602"/>
    <cellStyle name="Обычный 7 2 2 2 4 3" xfId="1401"/>
    <cellStyle name="Обычный 7 2 2 2 4 3 2" xfId="3115"/>
    <cellStyle name="Обычный 7 2 2 2 4 4" xfId="2260"/>
    <cellStyle name="Обычный 7 2 2 2 5" xfId="384"/>
    <cellStyle name="Обычный 7 2 2 2 5 2" xfId="1240"/>
    <cellStyle name="Обычный 7 2 2 2 5 2 2" xfId="2954"/>
    <cellStyle name="Обычный 7 2 2 2 5 3" xfId="2099"/>
    <cellStyle name="Обычный 7 2 2 2 6" xfId="727"/>
    <cellStyle name="Обычный 7 2 2 2 6 2" xfId="1582"/>
    <cellStyle name="Обычный 7 2 2 2 6 2 2" xfId="3296"/>
    <cellStyle name="Обычный 7 2 2 2 6 3" xfId="2441"/>
    <cellStyle name="Обычный 7 2 2 2 7" xfId="1069"/>
    <cellStyle name="Обычный 7 2 2 2 7 2" xfId="2783"/>
    <cellStyle name="Обычный 7 2 2 2 8" xfId="1928"/>
    <cellStyle name="Обычный 7 2 2 3" xfId="216"/>
    <cellStyle name="Обычный 7 2 2 3 2" xfId="549"/>
    <cellStyle name="Обычный 7 2 2 3 2 2" xfId="891"/>
    <cellStyle name="Обычный 7 2 2 3 2 2 2" xfId="1746"/>
    <cellStyle name="Обычный 7 2 2 3 2 2 2 2" xfId="3460"/>
    <cellStyle name="Обычный 7 2 2 3 2 2 3" xfId="2605"/>
    <cellStyle name="Обычный 7 2 2 3 2 3" xfId="1404"/>
    <cellStyle name="Обычный 7 2 2 3 2 3 2" xfId="3118"/>
    <cellStyle name="Обычный 7 2 2 3 2 4" xfId="2263"/>
    <cellStyle name="Обычный 7 2 2 3 3" xfId="387"/>
    <cellStyle name="Обычный 7 2 2 3 3 2" xfId="1243"/>
    <cellStyle name="Обычный 7 2 2 3 3 2 2" xfId="2957"/>
    <cellStyle name="Обычный 7 2 2 3 3 3" xfId="2102"/>
    <cellStyle name="Обычный 7 2 2 3 4" xfId="730"/>
    <cellStyle name="Обычный 7 2 2 3 4 2" xfId="1585"/>
    <cellStyle name="Обычный 7 2 2 3 4 2 2" xfId="3299"/>
    <cellStyle name="Обычный 7 2 2 3 4 3" xfId="2444"/>
    <cellStyle name="Обычный 7 2 2 3 5" xfId="1072"/>
    <cellStyle name="Обычный 7 2 2 3 5 2" xfId="2786"/>
    <cellStyle name="Обычный 7 2 2 3 6" xfId="1931"/>
    <cellStyle name="Обычный 7 2 2 4" xfId="217"/>
    <cellStyle name="Обычный 7 2 2 4 2" xfId="550"/>
    <cellStyle name="Обычный 7 2 2 4 2 2" xfId="892"/>
    <cellStyle name="Обычный 7 2 2 4 2 2 2" xfId="1747"/>
    <cellStyle name="Обычный 7 2 2 4 2 2 2 2" xfId="3461"/>
    <cellStyle name="Обычный 7 2 2 4 2 2 3" xfId="2606"/>
    <cellStyle name="Обычный 7 2 2 4 2 3" xfId="1405"/>
    <cellStyle name="Обычный 7 2 2 4 2 3 2" xfId="3119"/>
    <cellStyle name="Обычный 7 2 2 4 2 4" xfId="2264"/>
    <cellStyle name="Обычный 7 2 2 4 3" xfId="388"/>
    <cellStyle name="Обычный 7 2 2 4 3 2" xfId="1244"/>
    <cellStyle name="Обычный 7 2 2 4 3 2 2" xfId="2958"/>
    <cellStyle name="Обычный 7 2 2 4 3 3" xfId="2103"/>
    <cellStyle name="Обычный 7 2 2 4 4" xfId="731"/>
    <cellStyle name="Обычный 7 2 2 4 4 2" xfId="1586"/>
    <cellStyle name="Обычный 7 2 2 4 4 2 2" xfId="3300"/>
    <cellStyle name="Обычный 7 2 2 4 4 3" xfId="2445"/>
    <cellStyle name="Обычный 7 2 2 4 5" xfId="1073"/>
    <cellStyle name="Обычный 7 2 2 4 5 2" xfId="2787"/>
    <cellStyle name="Обычный 7 2 2 4 6" xfId="1932"/>
    <cellStyle name="Обычный 7 2 2 5" xfId="545"/>
    <cellStyle name="Обычный 7 2 2 5 2" xfId="887"/>
    <cellStyle name="Обычный 7 2 2 5 2 2" xfId="1742"/>
    <cellStyle name="Обычный 7 2 2 5 2 2 2" xfId="3456"/>
    <cellStyle name="Обычный 7 2 2 5 2 3" xfId="2601"/>
    <cellStyle name="Обычный 7 2 2 5 3" xfId="1400"/>
    <cellStyle name="Обычный 7 2 2 5 3 2" xfId="3114"/>
    <cellStyle name="Обычный 7 2 2 5 4" xfId="2259"/>
    <cellStyle name="Обычный 7 2 2 6" xfId="294"/>
    <cellStyle name="Обычный 7 2 2 6 2" xfId="1150"/>
    <cellStyle name="Обычный 7 2 2 6 2 2" xfId="2864"/>
    <cellStyle name="Обычный 7 2 2 6 3" xfId="2009"/>
    <cellStyle name="Обычный 7 2 2 7" xfId="637"/>
    <cellStyle name="Обычный 7 2 2 7 2" xfId="1492"/>
    <cellStyle name="Обычный 7 2 2 7 2 2" xfId="3206"/>
    <cellStyle name="Обычный 7 2 2 7 3" xfId="2351"/>
    <cellStyle name="Обычный 7 2 2 8" xfId="979"/>
    <cellStyle name="Обычный 7 2 2 8 2" xfId="2693"/>
    <cellStyle name="Обычный 7 2 2 9" xfId="1838"/>
    <cellStyle name="Обычный 7 2 3" xfId="116"/>
    <cellStyle name="Обычный 7 2 3 2" xfId="218"/>
    <cellStyle name="Обычный 7 2 3 2 2" xfId="219"/>
    <cellStyle name="Обычный 7 2 3 2 2 2" xfId="553"/>
    <cellStyle name="Обычный 7 2 3 2 2 2 2" xfId="895"/>
    <cellStyle name="Обычный 7 2 3 2 2 2 2 2" xfId="1750"/>
    <cellStyle name="Обычный 7 2 3 2 2 2 2 2 2" xfId="3464"/>
    <cellStyle name="Обычный 7 2 3 2 2 2 2 3" xfId="2609"/>
    <cellStyle name="Обычный 7 2 3 2 2 2 3" xfId="1408"/>
    <cellStyle name="Обычный 7 2 3 2 2 2 3 2" xfId="3122"/>
    <cellStyle name="Обычный 7 2 3 2 2 2 4" xfId="2267"/>
    <cellStyle name="Обычный 7 2 3 2 2 3" xfId="390"/>
    <cellStyle name="Обычный 7 2 3 2 2 3 2" xfId="1246"/>
    <cellStyle name="Обычный 7 2 3 2 2 3 2 2" xfId="2960"/>
    <cellStyle name="Обычный 7 2 3 2 2 3 3" xfId="2105"/>
    <cellStyle name="Обычный 7 2 3 2 2 4" xfId="733"/>
    <cellStyle name="Обычный 7 2 3 2 2 4 2" xfId="1588"/>
    <cellStyle name="Обычный 7 2 3 2 2 4 2 2" xfId="3302"/>
    <cellStyle name="Обычный 7 2 3 2 2 4 3" xfId="2447"/>
    <cellStyle name="Обычный 7 2 3 2 2 5" xfId="1075"/>
    <cellStyle name="Обычный 7 2 3 2 2 5 2" xfId="2789"/>
    <cellStyle name="Обычный 7 2 3 2 2 6" xfId="1934"/>
    <cellStyle name="Обычный 7 2 3 2 3" xfId="220"/>
    <cellStyle name="Обычный 7 2 3 2 3 2" xfId="554"/>
    <cellStyle name="Обычный 7 2 3 2 3 2 2" xfId="896"/>
    <cellStyle name="Обычный 7 2 3 2 3 2 2 2" xfId="1751"/>
    <cellStyle name="Обычный 7 2 3 2 3 2 2 2 2" xfId="3465"/>
    <cellStyle name="Обычный 7 2 3 2 3 2 2 3" xfId="2610"/>
    <cellStyle name="Обычный 7 2 3 2 3 2 3" xfId="1409"/>
    <cellStyle name="Обычный 7 2 3 2 3 2 3 2" xfId="3123"/>
    <cellStyle name="Обычный 7 2 3 2 3 2 4" xfId="2268"/>
    <cellStyle name="Обычный 7 2 3 2 3 3" xfId="391"/>
    <cellStyle name="Обычный 7 2 3 2 3 3 2" xfId="1247"/>
    <cellStyle name="Обычный 7 2 3 2 3 3 2 2" xfId="2961"/>
    <cellStyle name="Обычный 7 2 3 2 3 3 3" xfId="2106"/>
    <cellStyle name="Обычный 7 2 3 2 3 4" xfId="734"/>
    <cellStyle name="Обычный 7 2 3 2 3 4 2" xfId="1589"/>
    <cellStyle name="Обычный 7 2 3 2 3 4 2 2" xfId="3303"/>
    <cellStyle name="Обычный 7 2 3 2 3 4 3" xfId="2448"/>
    <cellStyle name="Обычный 7 2 3 2 3 5" xfId="1076"/>
    <cellStyle name="Обычный 7 2 3 2 3 5 2" xfId="2790"/>
    <cellStyle name="Обычный 7 2 3 2 3 6" xfId="1935"/>
    <cellStyle name="Обычный 7 2 3 2 4" xfId="552"/>
    <cellStyle name="Обычный 7 2 3 2 4 2" xfId="894"/>
    <cellStyle name="Обычный 7 2 3 2 4 2 2" xfId="1749"/>
    <cellStyle name="Обычный 7 2 3 2 4 2 2 2" xfId="3463"/>
    <cellStyle name="Обычный 7 2 3 2 4 2 3" xfId="2608"/>
    <cellStyle name="Обычный 7 2 3 2 4 3" xfId="1407"/>
    <cellStyle name="Обычный 7 2 3 2 4 3 2" xfId="3121"/>
    <cellStyle name="Обычный 7 2 3 2 4 4" xfId="2266"/>
    <cellStyle name="Обычный 7 2 3 2 5" xfId="389"/>
    <cellStyle name="Обычный 7 2 3 2 5 2" xfId="1245"/>
    <cellStyle name="Обычный 7 2 3 2 5 2 2" xfId="2959"/>
    <cellStyle name="Обычный 7 2 3 2 5 3" xfId="2104"/>
    <cellStyle name="Обычный 7 2 3 2 6" xfId="732"/>
    <cellStyle name="Обычный 7 2 3 2 6 2" xfId="1587"/>
    <cellStyle name="Обычный 7 2 3 2 6 2 2" xfId="3301"/>
    <cellStyle name="Обычный 7 2 3 2 6 3" xfId="2446"/>
    <cellStyle name="Обычный 7 2 3 2 7" xfId="1074"/>
    <cellStyle name="Обычный 7 2 3 2 7 2" xfId="2788"/>
    <cellStyle name="Обычный 7 2 3 2 8" xfId="1933"/>
    <cellStyle name="Обычный 7 2 3 3" xfId="221"/>
    <cellStyle name="Обычный 7 2 3 3 2" xfId="555"/>
    <cellStyle name="Обычный 7 2 3 3 2 2" xfId="897"/>
    <cellStyle name="Обычный 7 2 3 3 2 2 2" xfId="1752"/>
    <cellStyle name="Обычный 7 2 3 3 2 2 2 2" xfId="3466"/>
    <cellStyle name="Обычный 7 2 3 3 2 2 3" xfId="2611"/>
    <cellStyle name="Обычный 7 2 3 3 2 3" xfId="1410"/>
    <cellStyle name="Обычный 7 2 3 3 2 3 2" xfId="3124"/>
    <cellStyle name="Обычный 7 2 3 3 2 4" xfId="2269"/>
    <cellStyle name="Обычный 7 2 3 3 3" xfId="392"/>
    <cellStyle name="Обычный 7 2 3 3 3 2" xfId="1248"/>
    <cellStyle name="Обычный 7 2 3 3 3 2 2" xfId="2962"/>
    <cellStyle name="Обычный 7 2 3 3 3 3" xfId="2107"/>
    <cellStyle name="Обычный 7 2 3 3 4" xfId="735"/>
    <cellStyle name="Обычный 7 2 3 3 4 2" xfId="1590"/>
    <cellStyle name="Обычный 7 2 3 3 4 2 2" xfId="3304"/>
    <cellStyle name="Обычный 7 2 3 3 4 3" xfId="2449"/>
    <cellStyle name="Обычный 7 2 3 3 5" xfId="1077"/>
    <cellStyle name="Обычный 7 2 3 3 5 2" xfId="2791"/>
    <cellStyle name="Обычный 7 2 3 3 6" xfId="1936"/>
    <cellStyle name="Обычный 7 2 3 4" xfId="222"/>
    <cellStyle name="Обычный 7 2 3 4 2" xfId="556"/>
    <cellStyle name="Обычный 7 2 3 4 2 2" xfId="898"/>
    <cellStyle name="Обычный 7 2 3 4 2 2 2" xfId="1753"/>
    <cellStyle name="Обычный 7 2 3 4 2 2 2 2" xfId="3467"/>
    <cellStyle name="Обычный 7 2 3 4 2 2 3" xfId="2612"/>
    <cellStyle name="Обычный 7 2 3 4 2 3" xfId="1411"/>
    <cellStyle name="Обычный 7 2 3 4 2 3 2" xfId="3125"/>
    <cellStyle name="Обычный 7 2 3 4 2 4" xfId="2270"/>
    <cellStyle name="Обычный 7 2 3 4 3" xfId="393"/>
    <cellStyle name="Обычный 7 2 3 4 3 2" xfId="1249"/>
    <cellStyle name="Обычный 7 2 3 4 3 2 2" xfId="2963"/>
    <cellStyle name="Обычный 7 2 3 4 3 3" xfId="2108"/>
    <cellStyle name="Обычный 7 2 3 4 4" xfId="736"/>
    <cellStyle name="Обычный 7 2 3 4 4 2" xfId="1591"/>
    <cellStyle name="Обычный 7 2 3 4 4 2 2" xfId="3305"/>
    <cellStyle name="Обычный 7 2 3 4 4 3" xfId="2450"/>
    <cellStyle name="Обычный 7 2 3 4 5" xfId="1078"/>
    <cellStyle name="Обычный 7 2 3 4 5 2" xfId="2792"/>
    <cellStyle name="Обычный 7 2 3 4 6" xfId="1937"/>
    <cellStyle name="Обычный 7 2 3 5" xfId="551"/>
    <cellStyle name="Обычный 7 2 3 5 2" xfId="893"/>
    <cellStyle name="Обычный 7 2 3 5 2 2" xfId="1748"/>
    <cellStyle name="Обычный 7 2 3 5 2 2 2" xfId="3462"/>
    <cellStyle name="Обычный 7 2 3 5 2 3" xfId="2607"/>
    <cellStyle name="Обычный 7 2 3 5 3" xfId="1406"/>
    <cellStyle name="Обычный 7 2 3 5 3 2" xfId="3120"/>
    <cellStyle name="Обычный 7 2 3 5 4" xfId="2265"/>
    <cellStyle name="Обычный 7 2 3 6" xfId="287"/>
    <cellStyle name="Обычный 7 2 3 6 2" xfId="1143"/>
    <cellStyle name="Обычный 7 2 3 6 2 2" xfId="2857"/>
    <cellStyle name="Обычный 7 2 3 6 3" xfId="2002"/>
    <cellStyle name="Обычный 7 2 3 7" xfId="630"/>
    <cellStyle name="Обычный 7 2 3 7 2" xfId="1485"/>
    <cellStyle name="Обычный 7 2 3 7 2 2" xfId="3199"/>
    <cellStyle name="Обычный 7 2 3 7 3" xfId="2344"/>
    <cellStyle name="Обычный 7 2 3 8" xfId="972"/>
    <cellStyle name="Обычный 7 2 3 8 2" xfId="2686"/>
    <cellStyle name="Обычный 7 2 3 9" xfId="1831"/>
    <cellStyle name="Обычный 7 2 4" xfId="223"/>
    <cellStyle name="Обычный 7 2 4 2" xfId="224"/>
    <cellStyle name="Обычный 7 2 4 2 2" xfId="558"/>
    <cellStyle name="Обычный 7 2 4 2 2 2" xfId="900"/>
    <cellStyle name="Обычный 7 2 4 2 2 2 2" xfId="1755"/>
    <cellStyle name="Обычный 7 2 4 2 2 2 2 2" xfId="3469"/>
    <cellStyle name="Обычный 7 2 4 2 2 2 3" xfId="2614"/>
    <cellStyle name="Обычный 7 2 4 2 2 3" xfId="1413"/>
    <cellStyle name="Обычный 7 2 4 2 2 3 2" xfId="3127"/>
    <cellStyle name="Обычный 7 2 4 2 2 4" xfId="2272"/>
    <cellStyle name="Обычный 7 2 4 2 3" xfId="395"/>
    <cellStyle name="Обычный 7 2 4 2 3 2" xfId="1251"/>
    <cellStyle name="Обычный 7 2 4 2 3 2 2" xfId="2965"/>
    <cellStyle name="Обычный 7 2 4 2 3 3" xfId="2110"/>
    <cellStyle name="Обычный 7 2 4 2 4" xfId="738"/>
    <cellStyle name="Обычный 7 2 4 2 4 2" xfId="1593"/>
    <cellStyle name="Обычный 7 2 4 2 4 2 2" xfId="3307"/>
    <cellStyle name="Обычный 7 2 4 2 4 3" xfId="2452"/>
    <cellStyle name="Обычный 7 2 4 2 5" xfId="1080"/>
    <cellStyle name="Обычный 7 2 4 2 5 2" xfId="2794"/>
    <cellStyle name="Обычный 7 2 4 2 6" xfId="1939"/>
    <cellStyle name="Обычный 7 2 4 3" xfId="225"/>
    <cellStyle name="Обычный 7 2 4 3 2" xfId="559"/>
    <cellStyle name="Обычный 7 2 4 3 2 2" xfId="901"/>
    <cellStyle name="Обычный 7 2 4 3 2 2 2" xfId="1756"/>
    <cellStyle name="Обычный 7 2 4 3 2 2 2 2" xfId="3470"/>
    <cellStyle name="Обычный 7 2 4 3 2 2 3" xfId="2615"/>
    <cellStyle name="Обычный 7 2 4 3 2 3" xfId="1414"/>
    <cellStyle name="Обычный 7 2 4 3 2 3 2" xfId="3128"/>
    <cellStyle name="Обычный 7 2 4 3 2 4" xfId="2273"/>
    <cellStyle name="Обычный 7 2 4 3 3" xfId="396"/>
    <cellStyle name="Обычный 7 2 4 3 3 2" xfId="1252"/>
    <cellStyle name="Обычный 7 2 4 3 3 2 2" xfId="2966"/>
    <cellStyle name="Обычный 7 2 4 3 3 3" xfId="2111"/>
    <cellStyle name="Обычный 7 2 4 3 4" xfId="739"/>
    <cellStyle name="Обычный 7 2 4 3 4 2" xfId="1594"/>
    <cellStyle name="Обычный 7 2 4 3 4 2 2" xfId="3308"/>
    <cellStyle name="Обычный 7 2 4 3 4 3" xfId="2453"/>
    <cellStyle name="Обычный 7 2 4 3 5" xfId="1081"/>
    <cellStyle name="Обычный 7 2 4 3 5 2" xfId="2795"/>
    <cellStyle name="Обычный 7 2 4 3 6" xfId="1940"/>
    <cellStyle name="Обычный 7 2 4 4" xfId="557"/>
    <cellStyle name="Обычный 7 2 4 4 2" xfId="899"/>
    <cellStyle name="Обычный 7 2 4 4 2 2" xfId="1754"/>
    <cellStyle name="Обычный 7 2 4 4 2 2 2" xfId="3468"/>
    <cellStyle name="Обычный 7 2 4 4 2 3" xfId="2613"/>
    <cellStyle name="Обычный 7 2 4 4 3" xfId="1412"/>
    <cellStyle name="Обычный 7 2 4 4 3 2" xfId="3126"/>
    <cellStyle name="Обычный 7 2 4 4 4" xfId="2271"/>
    <cellStyle name="Обычный 7 2 4 5" xfId="394"/>
    <cellStyle name="Обычный 7 2 4 5 2" xfId="1250"/>
    <cellStyle name="Обычный 7 2 4 5 2 2" xfId="2964"/>
    <cellStyle name="Обычный 7 2 4 5 3" xfId="2109"/>
    <cellStyle name="Обычный 7 2 4 6" xfId="737"/>
    <cellStyle name="Обычный 7 2 4 6 2" xfId="1592"/>
    <cellStyle name="Обычный 7 2 4 6 2 2" xfId="3306"/>
    <cellStyle name="Обычный 7 2 4 6 3" xfId="2451"/>
    <cellStyle name="Обычный 7 2 4 7" xfId="1079"/>
    <cellStyle name="Обычный 7 2 4 7 2" xfId="2793"/>
    <cellStyle name="Обычный 7 2 4 8" xfId="1938"/>
    <cellStyle name="Обычный 7 2 5" xfId="226"/>
    <cellStyle name="Обычный 7 2 5 2" xfId="560"/>
    <cellStyle name="Обычный 7 2 5 2 2" xfId="902"/>
    <cellStyle name="Обычный 7 2 5 2 2 2" xfId="1757"/>
    <cellStyle name="Обычный 7 2 5 2 2 2 2" xfId="3471"/>
    <cellStyle name="Обычный 7 2 5 2 2 3" xfId="2616"/>
    <cellStyle name="Обычный 7 2 5 2 3" xfId="1415"/>
    <cellStyle name="Обычный 7 2 5 2 3 2" xfId="3129"/>
    <cellStyle name="Обычный 7 2 5 2 4" xfId="2274"/>
    <cellStyle name="Обычный 7 2 5 3" xfId="397"/>
    <cellStyle name="Обычный 7 2 5 3 2" xfId="1253"/>
    <cellStyle name="Обычный 7 2 5 3 2 2" xfId="2967"/>
    <cellStyle name="Обычный 7 2 5 3 3" xfId="2112"/>
    <cellStyle name="Обычный 7 2 5 4" xfId="740"/>
    <cellStyle name="Обычный 7 2 5 4 2" xfId="1595"/>
    <cellStyle name="Обычный 7 2 5 4 2 2" xfId="3309"/>
    <cellStyle name="Обычный 7 2 5 4 3" xfId="2454"/>
    <cellStyle name="Обычный 7 2 5 5" xfId="1082"/>
    <cellStyle name="Обычный 7 2 5 5 2" xfId="2796"/>
    <cellStyle name="Обычный 7 2 5 6" xfId="1941"/>
    <cellStyle name="Обычный 7 2 6" xfId="227"/>
    <cellStyle name="Обычный 7 2 6 2" xfId="561"/>
    <cellStyle name="Обычный 7 2 6 2 2" xfId="903"/>
    <cellStyle name="Обычный 7 2 6 2 2 2" xfId="1758"/>
    <cellStyle name="Обычный 7 2 6 2 2 2 2" xfId="3472"/>
    <cellStyle name="Обычный 7 2 6 2 2 3" xfId="2617"/>
    <cellStyle name="Обычный 7 2 6 2 3" xfId="1416"/>
    <cellStyle name="Обычный 7 2 6 2 3 2" xfId="3130"/>
    <cellStyle name="Обычный 7 2 6 2 4" xfId="2275"/>
    <cellStyle name="Обычный 7 2 6 3" xfId="398"/>
    <cellStyle name="Обычный 7 2 6 3 2" xfId="1254"/>
    <cellStyle name="Обычный 7 2 6 3 2 2" xfId="2968"/>
    <cellStyle name="Обычный 7 2 6 3 3" xfId="2113"/>
    <cellStyle name="Обычный 7 2 6 4" xfId="741"/>
    <cellStyle name="Обычный 7 2 6 4 2" xfId="1596"/>
    <cellStyle name="Обычный 7 2 6 4 2 2" xfId="3310"/>
    <cellStyle name="Обычный 7 2 6 4 3" xfId="2455"/>
    <cellStyle name="Обычный 7 2 6 5" xfId="1083"/>
    <cellStyle name="Обычный 7 2 6 5 2" xfId="2797"/>
    <cellStyle name="Обычный 7 2 6 6" xfId="1942"/>
    <cellStyle name="Обычный 7 2 7" xfId="228"/>
    <cellStyle name="Обычный 7 2 7 2" xfId="562"/>
    <cellStyle name="Обычный 7 2 7 2 2" xfId="904"/>
    <cellStyle name="Обычный 7 2 7 2 2 2" xfId="1759"/>
    <cellStyle name="Обычный 7 2 7 2 2 2 2" xfId="3473"/>
    <cellStyle name="Обычный 7 2 7 2 2 3" xfId="2618"/>
    <cellStyle name="Обычный 7 2 7 2 3" xfId="1417"/>
    <cellStyle name="Обычный 7 2 7 2 3 2" xfId="3131"/>
    <cellStyle name="Обычный 7 2 7 2 4" xfId="2276"/>
    <cellStyle name="Обычный 7 2 7 3" xfId="399"/>
    <cellStyle name="Обычный 7 2 7 3 2" xfId="1255"/>
    <cellStyle name="Обычный 7 2 7 3 2 2" xfId="2969"/>
    <cellStyle name="Обычный 7 2 7 3 3" xfId="2114"/>
    <cellStyle name="Обычный 7 2 7 4" xfId="742"/>
    <cellStyle name="Обычный 7 2 7 4 2" xfId="1597"/>
    <cellStyle name="Обычный 7 2 7 4 2 2" xfId="3311"/>
    <cellStyle name="Обычный 7 2 7 4 3" xfId="2456"/>
    <cellStyle name="Обычный 7 2 7 5" xfId="1084"/>
    <cellStyle name="Обычный 7 2 7 5 2" xfId="2798"/>
    <cellStyle name="Обычный 7 2 7 6" xfId="1943"/>
    <cellStyle name="Обычный 7 2 8" xfId="544"/>
    <cellStyle name="Обычный 7 2 8 2" xfId="886"/>
    <cellStyle name="Обычный 7 2 8 2 2" xfId="1741"/>
    <cellStyle name="Обычный 7 2 8 2 2 2" xfId="3455"/>
    <cellStyle name="Обычный 7 2 8 2 3" xfId="2600"/>
    <cellStyle name="Обычный 7 2 8 3" xfId="1399"/>
    <cellStyle name="Обычный 7 2 8 3 2" xfId="3113"/>
    <cellStyle name="Обычный 7 2 8 4" xfId="2258"/>
    <cellStyle name="Обычный 7 2 9" xfId="277"/>
    <cellStyle name="Обычный 7 2 9 2" xfId="1133"/>
    <cellStyle name="Обычный 7 2 9 2 2" xfId="2847"/>
    <cellStyle name="Обычный 7 2 9 3" xfId="1992"/>
    <cellStyle name="Обычный 8" xfId="58"/>
    <cellStyle name="Обычный 9" xfId="107"/>
    <cellStyle name="Обычный 9 10" xfId="1823"/>
    <cellStyle name="Обычный 9 2" xfId="125"/>
    <cellStyle name="Обычный 9 2 2" xfId="229"/>
    <cellStyle name="Обычный 9 2 2 2" xfId="230"/>
    <cellStyle name="Обычный 9 2 2 2 2" xfId="566"/>
    <cellStyle name="Обычный 9 2 2 2 2 2" xfId="908"/>
    <cellStyle name="Обычный 9 2 2 2 2 2 2" xfId="1763"/>
    <cellStyle name="Обычный 9 2 2 2 2 2 2 2" xfId="3477"/>
    <cellStyle name="Обычный 9 2 2 2 2 2 3" xfId="2622"/>
    <cellStyle name="Обычный 9 2 2 2 2 3" xfId="1421"/>
    <cellStyle name="Обычный 9 2 2 2 2 3 2" xfId="3135"/>
    <cellStyle name="Обычный 9 2 2 2 2 4" xfId="2280"/>
    <cellStyle name="Обычный 9 2 2 2 3" xfId="401"/>
    <cellStyle name="Обычный 9 2 2 2 3 2" xfId="1257"/>
    <cellStyle name="Обычный 9 2 2 2 3 2 2" xfId="2971"/>
    <cellStyle name="Обычный 9 2 2 2 3 3" xfId="2116"/>
    <cellStyle name="Обычный 9 2 2 2 4" xfId="744"/>
    <cellStyle name="Обычный 9 2 2 2 4 2" xfId="1599"/>
    <cellStyle name="Обычный 9 2 2 2 4 2 2" xfId="3313"/>
    <cellStyle name="Обычный 9 2 2 2 4 3" xfId="2458"/>
    <cellStyle name="Обычный 9 2 2 2 5" xfId="1086"/>
    <cellStyle name="Обычный 9 2 2 2 5 2" xfId="2800"/>
    <cellStyle name="Обычный 9 2 2 2 6" xfId="1945"/>
    <cellStyle name="Обычный 9 2 2 3" xfId="231"/>
    <cellStyle name="Обычный 9 2 2 3 2" xfId="567"/>
    <cellStyle name="Обычный 9 2 2 3 2 2" xfId="909"/>
    <cellStyle name="Обычный 9 2 2 3 2 2 2" xfId="1764"/>
    <cellStyle name="Обычный 9 2 2 3 2 2 2 2" xfId="3478"/>
    <cellStyle name="Обычный 9 2 2 3 2 2 3" xfId="2623"/>
    <cellStyle name="Обычный 9 2 2 3 2 3" xfId="1422"/>
    <cellStyle name="Обычный 9 2 2 3 2 3 2" xfId="3136"/>
    <cellStyle name="Обычный 9 2 2 3 2 4" xfId="2281"/>
    <cellStyle name="Обычный 9 2 2 3 3" xfId="402"/>
    <cellStyle name="Обычный 9 2 2 3 3 2" xfId="1258"/>
    <cellStyle name="Обычный 9 2 2 3 3 2 2" xfId="2972"/>
    <cellStyle name="Обычный 9 2 2 3 3 3" xfId="2117"/>
    <cellStyle name="Обычный 9 2 2 3 4" xfId="745"/>
    <cellStyle name="Обычный 9 2 2 3 4 2" xfId="1600"/>
    <cellStyle name="Обычный 9 2 2 3 4 2 2" xfId="3314"/>
    <cellStyle name="Обычный 9 2 2 3 4 3" xfId="2459"/>
    <cellStyle name="Обычный 9 2 2 3 5" xfId="1087"/>
    <cellStyle name="Обычный 9 2 2 3 5 2" xfId="2801"/>
    <cellStyle name="Обычный 9 2 2 3 6" xfId="1946"/>
    <cellStyle name="Обычный 9 2 2 4" xfId="232"/>
    <cellStyle name="Обычный 9 2 2 4 2" xfId="568"/>
    <cellStyle name="Обычный 9 2 2 4 2 2" xfId="910"/>
    <cellStyle name="Обычный 9 2 2 4 2 2 2" xfId="1765"/>
    <cellStyle name="Обычный 9 2 2 4 2 2 2 2" xfId="3479"/>
    <cellStyle name="Обычный 9 2 2 4 2 2 3" xfId="2624"/>
    <cellStyle name="Обычный 9 2 2 4 2 3" xfId="1423"/>
    <cellStyle name="Обычный 9 2 2 4 2 3 2" xfId="3137"/>
    <cellStyle name="Обычный 9 2 2 4 2 4" xfId="2282"/>
    <cellStyle name="Обычный 9 2 2 4 3" xfId="403"/>
    <cellStyle name="Обычный 9 2 2 4 3 2" xfId="1259"/>
    <cellStyle name="Обычный 9 2 2 4 3 2 2" xfId="2973"/>
    <cellStyle name="Обычный 9 2 2 4 3 3" xfId="2118"/>
    <cellStyle name="Обычный 9 2 2 4 4" xfId="746"/>
    <cellStyle name="Обычный 9 2 2 4 4 2" xfId="1601"/>
    <cellStyle name="Обычный 9 2 2 4 4 2 2" xfId="3315"/>
    <cellStyle name="Обычный 9 2 2 4 4 3" xfId="2460"/>
    <cellStyle name="Обычный 9 2 2 4 5" xfId="1088"/>
    <cellStyle name="Обычный 9 2 2 4 5 2" xfId="2802"/>
    <cellStyle name="Обычный 9 2 2 4 6" xfId="1947"/>
    <cellStyle name="Обычный 9 2 2 5" xfId="565"/>
    <cellStyle name="Обычный 9 2 2 5 2" xfId="907"/>
    <cellStyle name="Обычный 9 2 2 5 2 2" xfId="1762"/>
    <cellStyle name="Обычный 9 2 2 5 2 2 2" xfId="3476"/>
    <cellStyle name="Обычный 9 2 2 5 2 3" xfId="2621"/>
    <cellStyle name="Обычный 9 2 2 5 3" xfId="1420"/>
    <cellStyle name="Обычный 9 2 2 5 3 2" xfId="3134"/>
    <cellStyle name="Обычный 9 2 2 5 4" xfId="2279"/>
    <cellStyle name="Обычный 9 2 2 6" xfId="400"/>
    <cellStyle name="Обычный 9 2 2 6 2" xfId="1256"/>
    <cellStyle name="Обычный 9 2 2 6 2 2" xfId="2970"/>
    <cellStyle name="Обычный 9 2 2 6 3" xfId="2115"/>
    <cellStyle name="Обычный 9 2 2 7" xfId="743"/>
    <cellStyle name="Обычный 9 2 2 7 2" xfId="1598"/>
    <cellStyle name="Обычный 9 2 2 7 2 2" xfId="3312"/>
    <cellStyle name="Обычный 9 2 2 7 3" xfId="2457"/>
    <cellStyle name="Обычный 9 2 2 8" xfId="1085"/>
    <cellStyle name="Обычный 9 2 2 8 2" xfId="2799"/>
    <cellStyle name="Обычный 9 2 2 9" xfId="1944"/>
    <cellStyle name="Обычный 9 2 3" xfId="233"/>
    <cellStyle name="Обычный 9 2 3 2" xfId="569"/>
    <cellStyle name="Обычный 9 2 3 2 2" xfId="911"/>
    <cellStyle name="Обычный 9 2 3 2 2 2" xfId="1766"/>
    <cellStyle name="Обычный 9 2 3 2 2 2 2" xfId="3480"/>
    <cellStyle name="Обычный 9 2 3 2 2 3" xfId="2625"/>
    <cellStyle name="Обычный 9 2 3 2 3" xfId="1424"/>
    <cellStyle name="Обычный 9 2 3 2 3 2" xfId="3138"/>
    <cellStyle name="Обычный 9 2 3 2 4" xfId="2283"/>
    <cellStyle name="Обычный 9 2 3 3" xfId="404"/>
    <cellStyle name="Обычный 9 2 3 3 2" xfId="1260"/>
    <cellStyle name="Обычный 9 2 3 3 2 2" xfId="2974"/>
    <cellStyle name="Обычный 9 2 3 3 3" xfId="2119"/>
    <cellStyle name="Обычный 9 2 3 4" xfId="747"/>
    <cellStyle name="Обычный 9 2 3 4 2" xfId="1602"/>
    <cellStyle name="Обычный 9 2 3 4 2 2" xfId="3316"/>
    <cellStyle name="Обычный 9 2 3 4 3" xfId="2461"/>
    <cellStyle name="Обычный 9 2 3 5" xfId="1089"/>
    <cellStyle name="Обычный 9 2 3 5 2" xfId="2803"/>
    <cellStyle name="Обычный 9 2 3 6" xfId="1948"/>
    <cellStyle name="Обычный 9 2 4" xfId="234"/>
    <cellStyle name="Обычный 9 2 4 2" xfId="570"/>
    <cellStyle name="Обычный 9 2 4 2 2" xfId="912"/>
    <cellStyle name="Обычный 9 2 4 2 2 2" xfId="1767"/>
    <cellStyle name="Обычный 9 2 4 2 2 2 2" xfId="3481"/>
    <cellStyle name="Обычный 9 2 4 2 2 3" xfId="2626"/>
    <cellStyle name="Обычный 9 2 4 2 3" xfId="1425"/>
    <cellStyle name="Обычный 9 2 4 2 3 2" xfId="3139"/>
    <cellStyle name="Обычный 9 2 4 2 4" xfId="2284"/>
    <cellStyle name="Обычный 9 2 4 3" xfId="405"/>
    <cellStyle name="Обычный 9 2 4 3 2" xfId="1261"/>
    <cellStyle name="Обычный 9 2 4 3 2 2" xfId="2975"/>
    <cellStyle name="Обычный 9 2 4 3 3" xfId="2120"/>
    <cellStyle name="Обычный 9 2 4 4" xfId="748"/>
    <cellStyle name="Обычный 9 2 4 4 2" xfId="1603"/>
    <cellStyle name="Обычный 9 2 4 4 2 2" xfId="3317"/>
    <cellStyle name="Обычный 9 2 4 4 3" xfId="2462"/>
    <cellStyle name="Обычный 9 2 4 5" xfId="1090"/>
    <cellStyle name="Обычный 9 2 4 5 2" xfId="2804"/>
    <cellStyle name="Обычный 9 2 4 6" xfId="1949"/>
    <cellStyle name="Обычный 9 2 5" xfId="564"/>
    <cellStyle name="Обычный 9 2 5 2" xfId="906"/>
    <cellStyle name="Обычный 9 2 5 2 2" xfId="1761"/>
    <cellStyle name="Обычный 9 2 5 2 2 2" xfId="3475"/>
    <cellStyle name="Обычный 9 2 5 2 3" xfId="2620"/>
    <cellStyle name="Обычный 9 2 5 3" xfId="1419"/>
    <cellStyle name="Обычный 9 2 5 3 2" xfId="3133"/>
    <cellStyle name="Обычный 9 2 5 4" xfId="2278"/>
    <cellStyle name="Обычный 9 2 6" xfId="296"/>
    <cellStyle name="Обычный 9 2 6 2" xfId="1152"/>
    <cellStyle name="Обычный 9 2 6 2 2" xfId="2866"/>
    <cellStyle name="Обычный 9 2 6 3" xfId="2011"/>
    <cellStyle name="Обычный 9 2 7" xfId="639"/>
    <cellStyle name="Обычный 9 2 7 2" xfId="1494"/>
    <cellStyle name="Обычный 9 2 7 2 2" xfId="3208"/>
    <cellStyle name="Обычный 9 2 7 3" xfId="2353"/>
    <cellStyle name="Обычный 9 2 8" xfId="981"/>
    <cellStyle name="Обычный 9 2 8 2" xfId="2695"/>
    <cellStyle name="Обычный 9 2 9" xfId="1840"/>
    <cellStyle name="Обычный 9 3" xfId="130"/>
    <cellStyle name="Обычный 9 3 2" xfId="235"/>
    <cellStyle name="Обычный 9 3 2 2" xfId="572"/>
    <cellStyle name="Обычный 9 3 2 2 2" xfId="914"/>
    <cellStyle name="Обычный 9 3 2 2 2 2" xfId="1769"/>
    <cellStyle name="Обычный 9 3 2 2 2 2 2" xfId="3483"/>
    <cellStyle name="Обычный 9 3 2 2 2 3" xfId="2628"/>
    <cellStyle name="Обычный 9 3 2 2 3" xfId="1427"/>
    <cellStyle name="Обычный 9 3 2 2 3 2" xfId="3141"/>
    <cellStyle name="Обычный 9 3 2 2 4" xfId="2286"/>
    <cellStyle name="Обычный 9 3 2 3" xfId="406"/>
    <cellStyle name="Обычный 9 3 2 3 2" xfId="1262"/>
    <cellStyle name="Обычный 9 3 2 3 2 2" xfId="2976"/>
    <cellStyle name="Обычный 9 3 2 3 3" xfId="2121"/>
    <cellStyle name="Обычный 9 3 2 4" xfId="749"/>
    <cellStyle name="Обычный 9 3 2 4 2" xfId="1604"/>
    <cellStyle name="Обычный 9 3 2 4 2 2" xfId="3318"/>
    <cellStyle name="Обычный 9 3 2 4 3" xfId="2463"/>
    <cellStyle name="Обычный 9 3 2 5" xfId="1091"/>
    <cellStyle name="Обычный 9 3 2 5 2" xfId="2805"/>
    <cellStyle name="Обычный 9 3 2 6" xfId="1950"/>
    <cellStyle name="Обычный 9 3 3" xfId="236"/>
    <cellStyle name="Обычный 9 3 3 2" xfId="573"/>
    <cellStyle name="Обычный 9 3 3 2 2" xfId="915"/>
    <cellStyle name="Обычный 9 3 3 2 2 2" xfId="1770"/>
    <cellStyle name="Обычный 9 3 3 2 2 2 2" xfId="3484"/>
    <cellStyle name="Обычный 9 3 3 2 2 3" xfId="2629"/>
    <cellStyle name="Обычный 9 3 3 2 3" xfId="1428"/>
    <cellStyle name="Обычный 9 3 3 2 3 2" xfId="3142"/>
    <cellStyle name="Обычный 9 3 3 2 4" xfId="2287"/>
    <cellStyle name="Обычный 9 3 3 3" xfId="407"/>
    <cellStyle name="Обычный 9 3 3 3 2" xfId="1263"/>
    <cellStyle name="Обычный 9 3 3 3 2 2" xfId="2977"/>
    <cellStyle name="Обычный 9 3 3 3 3" xfId="2122"/>
    <cellStyle name="Обычный 9 3 3 4" xfId="750"/>
    <cellStyle name="Обычный 9 3 3 4 2" xfId="1605"/>
    <cellStyle name="Обычный 9 3 3 4 2 2" xfId="3319"/>
    <cellStyle name="Обычный 9 3 3 4 3" xfId="2464"/>
    <cellStyle name="Обычный 9 3 3 5" xfId="1092"/>
    <cellStyle name="Обычный 9 3 3 5 2" xfId="2806"/>
    <cellStyle name="Обычный 9 3 3 6" xfId="1951"/>
    <cellStyle name="Обычный 9 3 4" xfId="237"/>
    <cellStyle name="Обычный 9 3 4 2" xfId="574"/>
    <cellStyle name="Обычный 9 3 4 2 2" xfId="916"/>
    <cellStyle name="Обычный 9 3 4 2 2 2" xfId="1771"/>
    <cellStyle name="Обычный 9 3 4 2 2 2 2" xfId="3485"/>
    <cellStyle name="Обычный 9 3 4 2 2 3" xfId="2630"/>
    <cellStyle name="Обычный 9 3 4 2 3" xfId="1429"/>
    <cellStyle name="Обычный 9 3 4 2 3 2" xfId="3143"/>
    <cellStyle name="Обычный 9 3 4 2 4" xfId="2288"/>
    <cellStyle name="Обычный 9 3 4 3" xfId="408"/>
    <cellStyle name="Обычный 9 3 4 3 2" xfId="1264"/>
    <cellStyle name="Обычный 9 3 4 3 2 2" xfId="2978"/>
    <cellStyle name="Обычный 9 3 4 3 3" xfId="2123"/>
    <cellStyle name="Обычный 9 3 4 4" xfId="751"/>
    <cellStyle name="Обычный 9 3 4 4 2" xfId="1606"/>
    <cellStyle name="Обычный 9 3 4 4 2 2" xfId="3320"/>
    <cellStyle name="Обычный 9 3 4 4 3" xfId="2465"/>
    <cellStyle name="Обычный 9 3 4 5" xfId="1093"/>
    <cellStyle name="Обычный 9 3 4 5 2" xfId="2807"/>
    <cellStyle name="Обычный 9 3 4 6" xfId="1952"/>
    <cellStyle name="Обычный 9 3 5" xfId="571"/>
    <cellStyle name="Обычный 9 3 5 2" xfId="913"/>
    <cellStyle name="Обычный 9 3 5 2 2" xfId="1768"/>
    <cellStyle name="Обычный 9 3 5 2 2 2" xfId="3482"/>
    <cellStyle name="Обычный 9 3 5 2 3" xfId="2627"/>
    <cellStyle name="Обычный 9 3 5 3" xfId="1426"/>
    <cellStyle name="Обычный 9 3 5 3 2" xfId="3140"/>
    <cellStyle name="Обычный 9 3 5 4" xfId="2285"/>
    <cellStyle name="Обычный 9 3 6" xfId="301"/>
    <cellStyle name="Обычный 9 3 6 2" xfId="1157"/>
    <cellStyle name="Обычный 9 3 6 2 2" xfId="2871"/>
    <cellStyle name="Обычный 9 3 6 3" xfId="2016"/>
    <cellStyle name="Обычный 9 3 7" xfId="644"/>
    <cellStyle name="Обычный 9 3 7 2" xfId="1499"/>
    <cellStyle name="Обычный 9 3 7 2 2" xfId="3213"/>
    <cellStyle name="Обычный 9 3 7 3" xfId="2358"/>
    <cellStyle name="Обычный 9 3 8" xfId="986"/>
    <cellStyle name="Обычный 9 3 8 2" xfId="2700"/>
    <cellStyle name="Обычный 9 3 9" xfId="1845"/>
    <cellStyle name="Обычный 9 4" xfId="238"/>
    <cellStyle name="Обычный 9 4 2" xfId="575"/>
    <cellStyle name="Обычный 9 4 2 2" xfId="917"/>
    <cellStyle name="Обычный 9 4 2 2 2" xfId="1772"/>
    <cellStyle name="Обычный 9 4 2 2 2 2" xfId="3486"/>
    <cellStyle name="Обычный 9 4 2 2 3" xfId="2631"/>
    <cellStyle name="Обычный 9 4 2 3" xfId="1430"/>
    <cellStyle name="Обычный 9 4 2 3 2" xfId="3144"/>
    <cellStyle name="Обычный 9 4 2 4" xfId="2289"/>
    <cellStyle name="Обычный 9 4 3" xfId="409"/>
    <cellStyle name="Обычный 9 4 3 2" xfId="1265"/>
    <cellStyle name="Обычный 9 4 3 2 2" xfId="2979"/>
    <cellStyle name="Обычный 9 4 3 3" xfId="2124"/>
    <cellStyle name="Обычный 9 4 4" xfId="752"/>
    <cellStyle name="Обычный 9 4 4 2" xfId="1607"/>
    <cellStyle name="Обычный 9 4 4 2 2" xfId="3321"/>
    <cellStyle name="Обычный 9 4 4 3" xfId="2466"/>
    <cellStyle name="Обычный 9 4 5" xfId="1094"/>
    <cellStyle name="Обычный 9 4 5 2" xfId="2808"/>
    <cellStyle name="Обычный 9 4 6" xfId="1953"/>
    <cellStyle name="Обычный 9 5" xfId="239"/>
    <cellStyle name="Обычный 9 5 2" xfId="576"/>
    <cellStyle name="Обычный 9 5 2 2" xfId="918"/>
    <cellStyle name="Обычный 9 5 2 2 2" xfId="1773"/>
    <cellStyle name="Обычный 9 5 2 2 2 2" xfId="3487"/>
    <cellStyle name="Обычный 9 5 2 2 3" xfId="2632"/>
    <cellStyle name="Обычный 9 5 2 3" xfId="1431"/>
    <cellStyle name="Обычный 9 5 2 3 2" xfId="3145"/>
    <cellStyle name="Обычный 9 5 2 4" xfId="2290"/>
    <cellStyle name="Обычный 9 5 3" xfId="410"/>
    <cellStyle name="Обычный 9 5 3 2" xfId="1266"/>
    <cellStyle name="Обычный 9 5 3 2 2" xfId="2980"/>
    <cellStyle name="Обычный 9 5 3 3" xfId="2125"/>
    <cellStyle name="Обычный 9 5 4" xfId="753"/>
    <cellStyle name="Обычный 9 5 4 2" xfId="1608"/>
    <cellStyle name="Обычный 9 5 4 2 2" xfId="3322"/>
    <cellStyle name="Обычный 9 5 4 3" xfId="2467"/>
    <cellStyle name="Обычный 9 5 5" xfId="1095"/>
    <cellStyle name="Обычный 9 5 5 2" xfId="2809"/>
    <cellStyle name="Обычный 9 5 6" xfId="1954"/>
    <cellStyle name="Обычный 9 6" xfId="563"/>
    <cellStyle name="Обычный 9 6 2" xfId="905"/>
    <cellStyle name="Обычный 9 6 2 2" xfId="1760"/>
    <cellStyle name="Обычный 9 6 2 2 2" xfId="3474"/>
    <cellStyle name="Обычный 9 6 2 3" xfId="2619"/>
    <cellStyle name="Обычный 9 6 3" xfId="1418"/>
    <cellStyle name="Обычный 9 6 3 2" xfId="3132"/>
    <cellStyle name="Обычный 9 6 4" xfId="2277"/>
    <cellStyle name="Обычный 9 7" xfId="279"/>
    <cellStyle name="Обычный 9 7 2" xfId="1135"/>
    <cellStyle name="Обычный 9 7 2 2" xfId="2849"/>
    <cellStyle name="Обычный 9 7 3" xfId="1994"/>
    <cellStyle name="Обычный 9 8" xfId="622"/>
    <cellStyle name="Обычный 9 8 2" xfId="1477"/>
    <cellStyle name="Обычный 9 8 2 2" xfId="3191"/>
    <cellStyle name="Обычный 9 8 3" xfId="2336"/>
    <cellStyle name="Обычный 9 9" xfId="964"/>
    <cellStyle name="Обычный 9 9 2" xfId="2678"/>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2" xfId="104"/>
    <cellStyle name="Процентный 3" xfId="105"/>
    <cellStyle name="Процентный 4" xfId="181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0] 2" xfId="1814"/>
    <cellStyle name="Финансовый 2" xfId="50"/>
    <cellStyle name="Финансовый 2 10" xfId="616"/>
    <cellStyle name="Финансовый 2 10 2" xfId="1471"/>
    <cellStyle name="Финансовый 2 10 2 2" xfId="3185"/>
    <cellStyle name="Финансовый 2 10 3" xfId="2330"/>
    <cellStyle name="Финансовый 2 11" xfId="958"/>
    <cellStyle name="Финансовый 2 11 2" xfId="2672"/>
    <cellStyle name="Финансовый 2 12" xfId="1817"/>
    <cellStyle name="Финансовый 2 2" xfId="119"/>
    <cellStyle name="Финансовый 2 2 2" xfId="240"/>
    <cellStyle name="Финансовый 2 2 2 2" xfId="241"/>
    <cellStyle name="Финансовый 2 2 2 2 2" xfId="51"/>
    <cellStyle name="Финансовый 2 2 2 2 3" xfId="580"/>
    <cellStyle name="Финансовый 2 2 2 2 3 2" xfId="922"/>
    <cellStyle name="Финансовый 2 2 2 2 3 2 2" xfId="1777"/>
    <cellStyle name="Финансовый 2 2 2 2 3 2 2 2" xfId="3491"/>
    <cellStyle name="Финансовый 2 2 2 2 3 2 3" xfId="2636"/>
    <cellStyle name="Финансовый 2 2 2 2 3 3" xfId="1435"/>
    <cellStyle name="Финансовый 2 2 2 2 3 3 2" xfId="3149"/>
    <cellStyle name="Финансовый 2 2 2 2 3 4" xfId="2294"/>
    <cellStyle name="Финансовый 2 2 2 2 4" xfId="412"/>
    <cellStyle name="Финансовый 2 2 2 2 4 2" xfId="1268"/>
    <cellStyle name="Финансовый 2 2 2 2 4 2 2" xfId="2982"/>
    <cellStyle name="Финансовый 2 2 2 2 4 3" xfId="2127"/>
    <cellStyle name="Финансовый 2 2 2 2 5" xfId="755"/>
    <cellStyle name="Финансовый 2 2 2 2 5 2" xfId="1610"/>
    <cellStyle name="Финансовый 2 2 2 2 5 2 2" xfId="3324"/>
    <cellStyle name="Финансовый 2 2 2 2 5 3" xfId="2469"/>
    <cellStyle name="Финансовый 2 2 2 2 6" xfId="1097"/>
    <cellStyle name="Финансовый 2 2 2 2 6 2" xfId="2811"/>
    <cellStyle name="Финансовый 2 2 2 2 7" xfId="1956"/>
    <cellStyle name="Финансовый 2 2 2 3" xfId="242"/>
    <cellStyle name="Финансовый 2 2 2 3 2" xfId="581"/>
    <cellStyle name="Финансовый 2 2 2 3 2 2" xfId="923"/>
    <cellStyle name="Финансовый 2 2 2 3 2 2 2" xfId="1778"/>
    <cellStyle name="Финансовый 2 2 2 3 2 2 2 2" xfId="3492"/>
    <cellStyle name="Финансовый 2 2 2 3 2 2 3" xfId="2637"/>
    <cellStyle name="Финансовый 2 2 2 3 2 3" xfId="1436"/>
    <cellStyle name="Финансовый 2 2 2 3 2 3 2" xfId="3150"/>
    <cellStyle name="Финансовый 2 2 2 3 2 4" xfId="2295"/>
    <cellStyle name="Финансовый 2 2 2 3 3" xfId="413"/>
    <cellStyle name="Финансовый 2 2 2 3 3 2" xfId="1269"/>
    <cellStyle name="Финансовый 2 2 2 3 3 2 2" xfId="2983"/>
    <cellStyle name="Финансовый 2 2 2 3 3 3" xfId="2128"/>
    <cellStyle name="Финансовый 2 2 2 3 4" xfId="756"/>
    <cellStyle name="Финансовый 2 2 2 3 4 2" xfId="1611"/>
    <cellStyle name="Финансовый 2 2 2 3 4 2 2" xfId="3325"/>
    <cellStyle name="Финансовый 2 2 2 3 4 3" xfId="2470"/>
    <cellStyle name="Финансовый 2 2 2 3 5" xfId="1098"/>
    <cellStyle name="Финансовый 2 2 2 3 5 2" xfId="2812"/>
    <cellStyle name="Финансовый 2 2 2 3 6" xfId="1957"/>
    <cellStyle name="Финансовый 2 2 2 4" xfId="579"/>
    <cellStyle name="Финансовый 2 2 2 4 2" xfId="921"/>
    <cellStyle name="Финансовый 2 2 2 4 2 2" xfId="1776"/>
    <cellStyle name="Финансовый 2 2 2 4 2 2 2" xfId="3490"/>
    <cellStyle name="Финансовый 2 2 2 4 2 3" xfId="2635"/>
    <cellStyle name="Финансовый 2 2 2 4 3" xfId="1434"/>
    <cellStyle name="Финансовый 2 2 2 4 3 2" xfId="3148"/>
    <cellStyle name="Финансовый 2 2 2 4 4" xfId="2293"/>
    <cellStyle name="Финансовый 2 2 2 5" xfId="411"/>
    <cellStyle name="Финансовый 2 2 2 5 2" xfId="1267"/>
    <cellStyle name="Финансовый 2 2 2 5 2 2" xfId="2981"/>
    <cellStyle name="Финансовый 2 2 2 5 3" xfId="2126"/>
    <cellStyle name="Финансовый 2 2 2 6" xfId="754"/>
    <cellStyle name="Финансовый 2 2 2 6 2" xfId="1609"/>
    <cellStyle name="Финансовый 2 2 2 6 2 2" xfId="3323"/>
    <cellStyle name="Финансовый 2 2 2 6 3" xfId="2468"/>
    <cellStyle name="Финансовый 2 2 2 7" xfId="1096"/>
    <cellStyle name="Финансовый 2 2 2 7 2" xfId="2810"/>
    <cellStyle name="Финансовый 2 2 2 8" xfId="1955"/>
    <cellStyle name="Финансовый 2 2 3" xfId="243"/>
    <cellStyle name="Финансовый 2 2 3 2" xfId="582"/>
    <cellStyle name="Финансовый 2 2 3 2 2" xfId="924"/>
    <cellStyle name="Финансовый 2 2 3 2 2 2" xfId="1779"/>
    <cellStyle name="Финансовый 2 2 3 2 2 2 2" xfId="3493"/>
    <cellStyle name="Финансовый 2 2 3 2 2 3" xfId="2638"/>
    <cellStyle name="Финансовый 2 2 3 2 3" xfId="1437"/>
    <cellStyle name="Финансовый 2 2 3 2 3 2" xfId="3151"/>
    <cellStyle name="Финансовый 2 2 3 2 4" xfId="2296"/>
    <cellStyle name="Финансовый 2 2 3 3" xfId="414"/>
    <cellStyle name="Финансовый 2 2 3 3 2" xfId="1270"/>
    <cellStyle name="Финансовый 2 2 3 3 2 2" xfId="2984"/>
    <cellStyle name="Финансовый 2 2 3 3 3" xfId="2129"/>
    <cellStyle name="Финансовый 2 2 3 4" xfId="757"/>
    <cellStyle name="Финансовый 2 2 3 4 2" xfId="1612"/>
    <cellStyle name="Финансовый 2 2 3 4 2 2" xfId="3326"/>
    <cellStyle name="Финансовый 2 2 3 4 3" xfId="2471"/>
    <cellStyle name="Финансовый 2 2 3 5" xfId="1099"/>
    <cellStyle name="Финансовый 2 2 3 5 2" xfId="2813"/>
    <cellStyle name="Финансовый 2 2 3 6" xfId="1958"/>
    <cellStyle name="Финансовый 2 2 4" xfId="244"/>
    <cellStyle name="Финансовый 2 2 4 2" xfId="583"/>
    <cellStyle name="Финансовый 2 2 4 2 2" xfId="925"/>
    <cellStyle name="Финансовый 2 2 4 2 2 2" xfId="1780"/>
    <cellStyle name="Финансовый 2 2 4 2 2 2 2" xfId="3494"/>
    <cellStyle name="Финансовый 2 2 4 2 2 3" xfId="2639"/>
    <cellStyle name="Финансовый 2 2 4 2 3" xfId="1438"/>
    <cellStyle name="Финансовый 2 2 4 2 3 2" xfId="3152"/>
    <cellStyle name="Финансовый 2 2 4 2 4" xfId="2297"/>
    <cellStyle name="Финансовый 2 2 4 3" xfId="415"/>
    <cellStyle name="Финансовый 2 2 4 3 2" xfId="1271"/>
    <cellStyle name="Финансовый 2 2 4 3 2 2" xfId="2985"/>
    <cellStyle name="Финансовый 2 2 4 3 3" xfId="2130"/>
    <cellStyle name="Финансовый 2 2 4 4" xfId="758"/>
    <cellStyle name="Финансовый 2 2 4 4 2" xfId="1613"/>
    <cellStyle name="Финансовый 2 2 4 4 2 2" xfId="3327"/>
    <cellStyle name="Финансовый 2 2 4 4 3" xfId="2472"/>
    <cellStyle name="Финансовый 2 2 4 5" xfId="1100"/>
    <cellStyle name="Финансовый 2 2 4 5 2" xfId="2814"/>
    <cellStyle name="Финансовый 2 2 4 6" xfId="1959"/>
    <cellStyle name="Финансовый 2 2 5" xfId="578"/>
    <cellStyle name="Финансовый 2 2 5 2" xfId="920"/>
    <cellStyle name="Финансовый 2 2 5 2 2" xfId="1775"/>
    <cellStyle name="Финансовый 2 2 5 2 2 2" xfId="3489"/>
    <cellStyle name="Финансовый 2 2 5 2 3" xfId="2634"/>
    <cellStyle name="Финансовый 2 2 5 3" xfId="1433"/>
    <cellStyle name="Финансовый 2 2 5 3 2" xfId="3147"/>
    <cellStyle name="Финансовый 2 2 5 4" xfId="2292"/>
    <cellStyle name="Финансовый 2 2 6" xfId="290"/>
    <cellStyle name="Финансовый 2 2 6 2" xfId="1146"/>
    <cellStyle name="Финансовый 2 2 6 2 2" xfId="2860"/>
    <cellStyle name="Финансовый 2 2 6 3" xfId="2005"/>
    <cellStyle name="Финансовый 2 2 7" xfId="633"/>
    <cellStyle name="Финансовый 2 2 7 2" xfId="1488"/>
    <cellStyle name="Финансовый 2 2 7 2 2" xfId="3202"/>
    <cellStyle name="Финансовый 2 2 7 3" xfId="2347"/>
    <cellStyle name="Финансовый 2 2 8" xfId="975"/>
    <cellStyle name="Финансовый 2 2 8 2" xfId="2689"/>
    <cellStyle name="Финансовый 2 2 9" xfId="1834"/>
    <cellStyle name="Финансовый 2 3" xfId="112"/>
    <cellStyle name="Финансовый 2 3 2" xfId="245"/>
    <cellStyle name="Финансовый 2 3 2 2" xfId="246"/>
    <cellStyle name="Финансовый 2 3 2 2 2" xfId="586"/>
    <cellStyle name="Финансовый 2 3 2 2 2 2" xfId="928"/>
    <cellStyle name="Финансовый 2 3 2 2 2 2 2" xfId="1783"/>
    <cellStyle name="Финансовый 2 3 2 2 2 2 2 2" xfId="3497"/>
    <cellStyle name="Финансовый 2 3 2 2 2 2 3" xfId="2642"/>
    <cellStyle name="Финансовый 2 3 2 2 2 3" xfId="1441"/>
    <cellStyle name="Финансовый 2 3 2 2 2 3 2" xfId="3155"/>
    <cellStyle name="Финансовый 2 3 2 2 2 4" xfId="2300"/>
    <cellStyle name="Финансовый 2 3 2 2 3" xfId="417"/>
    <cellStyle name="Финансовый 2 3 2 2 3 2" xfId="1273"/>
    <cellStyle name="Финансовый 2 3 2 2 3 2 2" xfId="2987"/>
    <cellStyle name="Финансовый 2 3 2 2 3 3" xfId="2132"/>
    <cellStyle name="Финансовый 2 3 2 2 4" xfId="760"/>
    <cellStyle name="Финансовый 2 3 2 2 4 2" xfId="1615"/>
    <cellStyle name="Финансовый 2 3 2 2 4 2 2" xfId="3329"/>
    <cellStyle name="Финансовый 2 3 2 2 4 3" xfId="2474"/>
    <cellStyle name="Финансовый 2 3 2 2 5" xfId="1102"/>
    <cellStyle name="Финансовый 2 3 2 2 5 2" xfId="2816"/>
    <cellStyle name="Финансовый 2 3 2 2 6" xfId="1961"/>
    <cellStyle name="Финансовый 2 3 2 3" xfId="247"/>
    <cellStyle name="Финансовый 2 3 2 3 2" xfId="587"/>
    <cellStyle name="Финансовый 2 3 2 3 2 2" xfId="929"/>
    <cellStyle name="Финансовый 2 3 2 3 2 2 2" xfId="1784"/>
    <cellStyle name="Финансовый 2 3 2 3 2 2 2 2" xfId="3498"/>
    <cellStyle name="Финансовый 2 3 2 3 2 2 3" xfId="2643"/>
    <cellStyle name="Финансовый 2 3 2 3 2 3" xfId="1442"/>
    <cellStyle name="Финансовый 2 3 2 3 2 3 2" xfId="3156"/>
    <cellStyle name="Финансовый 2 3 2 3 2 4" xfId="2301"/>
    <cellStyle name="Финансовый 2 3 2 3 3" xfId="418"/>
    <cellStyle name="Финансовый 2 3 2 3 3 2" xfId="1274"/>
    <cellStyle name="Финансовый 2 3 2 3 3 2 2" xfId="2988"/>
    <cellStyle name="Финансовый 2 3 2 3 3 3" xfId="2133"/>
    <cellStyle name="Финансовый 2 3 2 3 4" xfId="761"/>
    <cellStyle name="Финансовый 2 3 2 3 4 2" xfId="1616"/>
    <cellStyle name="Финансовый 2 3 2 3 4 2 2" xfId="3330"/>
    <cellStyle name="Финансовый 2 3 2 3 4 3" xfId="2475"/>
    <cellStyle name="Финансовый 2 3 2 3 5" xfId="1103"/>
    <cellStyle name="Финансовый 2 3 2 3 5 2" xfId="2817"/>
    <cellStyle name="Финансовый 2 3 2 3 6" xfId="1962"/>
    <cellStyle name="Финансовый 2 3 2 4" xfId="585"/>
    <cellStyle name="Финансовый 2 3 2 4 2" xfId="927"/>
    <cellStyle name="Финансовый 2 3 2 4 2 2" xfId="1782"/>
    <cellStyle name="Финансовый 2 3 2 4 2 2 2" xfId="3496"/>
    <cellStyle name="Финансовый 2 3 2 4 2 3" xfId="2641"/>
    <cellStyle name="Финансовый 2 3 2 4 3" xfId="1440"/>
    <cellStyle name="Финансовый 2 3 2 4 3 2" xfId="3154"/>
    <cellStyle name="Финансовый 2 3 2 4 4" xfId="2299"/>
    <cellStyle name="Финансовый 2 3 2 5" xfId="416"/>
    <cellStyle name="Финансовый 2 3 2 5 2" xfId="1272"/>
    <cellStyle name="Финансовый 2 3 2 5 2 2" xfId="2986"/>
    <cellStyle name="Финансовый 2 3 2 5 3" xfId="2131"/>
    <cellStyle name="Финансовый 2 3 2 6" xfId="759"/>
    <cellStyle name="Финансовый 2 3 2 6 2" xfId="1614"/>
    <cellStyle name="Финансовый 2 3 2 6 2 2" xfId="3328"/>
    <cellStyle name="Финансовый 2 3 2 6 3" xfId="2473"/>
    <cellStyle name="Финансовый 2 3 2 7" xfId="1101"/>
    <cellStyle name="Финансовый 2 3 2 7 2" xfId="2815"/>
    <cellStyle name="Финансовый 2 3 2 8" xfId="1960"/>
    <cellStyle name="Финансовый 2 3 3" xfId="248"/>
    <cellStyle name="Финансовый 2 3 3 2" xfId="588"/>
    <cellStyle name="Финансовый 2 3 3 2 2" xfId="930"/>
    <cellStyle name="Финансовый 2 3 3 2 2 2" xfId="1785"/>
    <cellStyle name="Финансовый 2 3 3 2 2 2 2" xfId="3499"/>
    <cellStyle name="Финансовый 2 3 3 2 2 3" xfId="2644"/>
    <cellStyle name="Финансовый 2 3 3 2 3" xfId="1443"/>
    <cellStyle name="Финансовый 2 3 3 2 3 2" xfId="3157"/>
    <cellStyle name="Финансовый 2 3 3 2 4" xfId="2302"/>
    <cellStyle name="Финансовый 2 3 3 3" xfId="419"/>
    <cellStyle name="Финансовый 2 3 3 3 2" xfId="1275"/>
    <cellStyle name="Финансовый 2 3 3 3 2 2" xfId="2989"/>
    <cellStyle name="Финансовый 2 3 3 3 3" xfId="2134"/>
    <cellStyle name="Финансовый 2 3 3 4" xfId="762"/>
    <cellStyle name="Финансовый 2 3 3 4 2" xfId="1617"/>
    <cellStyle name="Финансовый 2 3 3 4 2 2" xfId="3331"/>
    <cellStyle name="Финансовый 2 3 3 4 3" xfId="2476"/>
    <cellStyle name="Финансовый 2 3 3 5" xfId="1104"/>
    <cellStyle name="Финансовый 2 3 3 5 2" xfId="2818"/>
    <cellStyle name="Финансовый 2 3 3 6" xfId="1963"/>
    <cellStyle name="Финансовый 2 3 4" xfId="249"/>
    <cellStyle name="Финансовый 2 3 4 2" xfId="589"/>
    <cellStyle name="Финансовый 2 3 4 2 2" xfId="931"/>
    <cellStyle name="Финансовый 2 3 4 2 2 2" xfId="1786"/>
    <cellStyle name="Финансовый 2 3 4 2 2 2 2" xfId="3500"/>
    <cellStyle name="Финансовый 2 3 4 2 2 3" xfId="2645"/>
    <cellStyle name="Финансовый 2 3 4 2 3" xfId="1444"/>
    <cellStyle name="Финансовый 2 3 4 2 3 2" xfId="3158"/>
    <cellStyle name="Финансовый 2 3 4 2 4" xfId="2303"/>
    <cellStyle name="Финансовый 2 3 4 3" xfId="420"/>
    <cellStyle name="Финансовый 2 3 4 3 2" xfId="1276"/>
    <cellStyle name="Финансовый 2 3 4 3 2 2" xfId="2990"/>
    <cellStyle name="Финансовый 2 3 4 3 3" xfId="2135"/>
    <cellStyle name="Финансовый 2 3 4 4" xfId="763"/>
    <cellStyle name="Финансовый 2 3 4 4 2" xfId="1618"/>
    <cellStyle name="Финансовый 2 3 4 4 2 2" xfId="3332"/>
    <cellStyle name="Финансовый 2 3 4 4 3" xfId="2477"/>
    <cellStyle name="Финансовый 2 3 4 5" xfId="1105"/>
    <cellStyle name="Финансовый 2 3 4 5 2" xfId="2819"/>
    <cellStyle name="Финансовый 2 3 4 6" xfId="1964"/>
    <cellStyle name="Финансовый 2 3 5" xfId="584"/>
    <cellStyle name="Финансовый 2 3 5 2" xfId="926"/>
    <cellStyle name="Финансовый 2 3 5 2 2" xfId="1781"/>
    <cellStyle name="Финансовый 2 3 5 2 2 2" xfId="3495"/>
    <cellStyle name="Финансовый 2 3 5 2 3" xfId="2640"/>
    <cellStyle name="Финансовый 2 3 5 3" xfId="1439"/>
    <cellStyle name="Финансовый 2 3 5 3 2" xfId="3153"/>
    <cellStyle name="Финансовый 2 3 5 4" xfId="2298"/>
    <cellStyle name="Финансовый 2 3 6" xfId="283"/>
    <cellStyle name="Финансовый 2 3 6 2" xfId="1139"/>
    <cellStyle name="Финансовый 2 3 6 2 2" xfId="2853"/>
    <cellStyle name="Финансовый 2 3 6 3" xfId="1998"/>
    <cellStyle name="Финансовый 2 3 7" xfId="626"/>
    <cellStyle name="Финансовый 2 3 7 2" xfId="1481"/>
    <cellStyle name="Финансовый 2 3 7 2 2" xfId="3195"/>
    <cellStyle name="Финансовый 2 3 7 3" xfId="2340"/>
    <cellStyle name="Финансовый 2 3 8" xfId="968"/>
    <cellStyle name="Финансовый 2 3 8 2" xfId="2682"/>
    <cellStyle name="Финансовый 2 3 9" xfId="1827"/>
    <cellStyle name="Финансовый 2 4" xfId="250"/>
    <cellStyle name="Финансовый 2 4 2" xfId="251"/>
    <cellStyle name="Финансовый 2 4 2 2" xfId="591"/>
    <cellStyle name="Финансовый 2 4 2 2 2" xfId="933"/>
    <cellStyle name="Финансовый 2 4 2 2 2 2" xfId="1788"/>
    <cellStyle name="Финансовый 2 4 2 2 2 2 2" xfId="3502"/>
    <cellStyle name="Финансовый 2 4 2 2 2 3" xfId="2647"/>
    <cellStyle name="Финансовый 2 4 2 2 3" xfId="1446"/>
    <cellStyle name="Финансовый 2 4 2 2 3 2" xfId="3160"/>
    <cellStyle name="Финансовый 2 4 2 2 4" xfId="2305"/>
    <cellStyle name="Финансовый 2 4 2 3" xfId="422"/>
    <cellStyle name="Финансовый 2 4 2 3 2" xfId="1278"/>
    <cellStyle name="Финансовый 2 4 2 3 2 2" xfId="2992"/>
    <cellStyle name="Финансовый 2 4 2 3 3" xfId="2137"/>
    <cellStyle name="Финансовый 2 4 2 4" xfId="765"/>
    <cellStyle name="Финансовый 2 4 2 4 2" xfId="1620"/>
    <cellStyle name="Финансовый 2 4 2 4 2 2" xfId="3334"/>
    <cellStyle name="Финансовый 2 4 2 4 3" xfId="2479"/>
    <cellStyle name="Финансовый 2 4 2 5" xfId="1107"/>
    <cellStyle name="Финансовый 2 4 2 5 2" xfId="2821"/>
    <cellStyle name="Финансовый 2 4 2 6" xfId="1966"/>
    <cellStyle name="Финансовый 2 4 3" xfId="252"/>
    <cellStyle name="Финансовый 2 4 3 2" xfId="592"/>
    <cellStyle name="Финансовый 2 4 3 2 2" xfId="934"/>
    <cellStyle name="Финансовый 2 4 3 2 2 2" xfId="1789"/>
    <cellStyle name="Финансовый 2 4 3 2 2 2 2" xfId="3503"/>
    <cellStyle name="Финансовый 2 4 3 2 2 3" xfId="2648"/>
    <cellStyle name="Финансовый 2 4 3 2 3" xfId="1447"/>
    <cellStyle name="Финансовый 2 4 3 2 3 2" xfId="3161"/>
    <cellStyle name="Финансовый 2 4 3 2 4" xfId="2306"/>
    <cellStyle name="Финансовый 2 4 3 3" xfId="423"/>
    <cellStyle name="Финансовый 2 4 3 3 2" xfId="1279"/>
    <cellStyle name="Финансовый 2 4 3 3 2 2" xfId="2993"/>
    <cellStyle name="Финансовый 2 4 3 3 3" xfId="2138"/>
    <cellStyle name="Финансовый 2 4 3 4" xfId="766"/>
    <cellStyle name="Финансовый 2 4 3 4 2" xfId="1621"/>
    <cellStyle name="Финансовый 2 4 3 4 2 2" xfId="3335"/>
    <cellStyle name="Финансовый 2 4 3 4 3" xfId="2480"/>
    <cellStyle name="Финансовый 2 4 3 5" xfId="1108"/>
    <cellStyle name="Финансовый 2 4 3 5 2" xfId="2822"/>
    <cellStyle name="Финансовый 2 4 3 6" xfId="1967"/>
    <cellStyle name="Финансовый 2 4 4" xfId="590"/>
    <cellStyle name="Финансовый 2 4 4 2" xfId="932"/>
    <cellStyle name="Финансовый 2 4 4 2 2" xfId="1787"/>
    <cellStyle name="Финансовый 2 4 4 2 2 2" xfId="3501"/>
    <cellStyle name="Финансовый 2 4 4 2 3" xfId="2646"/>
    <cellStyle name="Финансовый 2 4 4 3" xfId="1445"/>
    <cellStyle name="Финансовый 2 4 4 3 2" xfId="3159"/>
    <cellStyle name="Финансовый 2 4 4 4" xfId="2304"/>
    <cellStyle name="Финансовый 2 4 5" xfId="421"/>
    <cellStyle name="Финансовый 2 4 5 2" xfId="1277"/>
    <cellStyle name="Финансовый 2 4 5 2 2" xfId="2991"/>
    <cellStyle name="Финансовый 2 4 5 3" xfId="2136"/>
    <cellStyle name="Финансовый 2 4 6" xfId="764"/>
    <cellStyle name="Финансовый 2 4 6 2" xfId="1619"/>
    <cellStyle name="Финансовый 2 4 6 2 2" xfId="3333"/>
    <cellStyle name="Финансовый 2 4 6 3" xfId="2478"/>
    <cellStyle name="Финансовый 2 4 7" xfId="1106"/>
    <cellStyle name="Финансовый 2 4 7 2" xfId="2820"/>
    <cellStyle name="Финансовый 2 4 8" xfId="1965"/>
    <cellStyle name="Финансовый 2 5" xfId="253"/>
    <cellStyle name="Финансовый 2 5 2" xfId="593"/>
    <cellStyle name="Финансовый 2 5 2 2" xfId="935"/>
    <cellStyle name="Финансовый 2 5 2 2 2" xfId="1790"/>
    <cellStyle name="Финансовый 2 5 2 2 2 2" xfId="3504"/>
    <cellStyle name="Финансовый 2 5 2 2 3" xfId="2649"/>
    <cellStyle name="Финансовый 2 5 2 3" xfId="1448"/>
    <cellStyle name="Финансовый 2 5 2 3 2" xfId="3162"/>
    <cellStyle name="Финансовый 2 5 2 4" xfId="2307"/>
    <cellStyle name="Финансовый 2 5 3" xfId="424"/>
    <cellStyle name="Финансовый 2 5 3 2" xfId="1280"/>
    <cellStyle name="Финансовый 2 5 3 2 2" xfId="2994"/>
    <cellStyle name="Финансовый 2 5 3 3" xfId="2139"/>
    <cellStyle name="Финансовый 2 5 4" xfId="767"/>
    <cellStyle name="Финансовый 2 5 4 2" xfId="1622"/>
    <cellStyle name="Финансовый 2 5 4 2 2" xfId="3336"/>
    <cellStyle name="Финансовый 2 5 4 3" xfId="2481"/>
    <cellStyle name="Финансовый 2 5 5" xfId="1109"/>
    <cellStyle name="Финансовый 2 5 5 2" xfId="2823"/>
    <cellStyle name="Финансовый 2 5 6" xfId="1968"/>
    <cellStyle name="Финансовый 2 6" xfId="254"/>
    <cellStyle name="Финансовый 2 6 2" xfId="594"/>
    <cellStyle name="Финансовый 2 6 2 2" xfId="936"/>
    <cellStyle name="Финансовый 2 6 2 2 2" xfId="1791"/>
    <cellStyle name="Финансовый 2 6 2 2 2 2" xfId="3505"/>
    <cellStyle name="Финансовый 2 6 2 2 3" xfId="2650"/>
    <cellStyle name="Финансовый 2 6 2 3" xfId="1449"/>
    <cellStyle name="Финансовый 2 6 2 3 2" xfId="3163"/>
    <cellStyle name="Финансовый 2 6 2 4" xfId="2308"/>
    <cellStyle name="Финансовый 2 6 3" xfId="425"/>
    <cellStyle name="Финансовый 2 6 3 2" xfId="1281"/>
    <cellStyle name="Финансовый 2 6 3 2 2" xfId="2995"/>
    <cellStyle name="Финансовый 2 6 3 3" xfId="2140"/>
    <cellStyle name="Финансовый 2 6 4" xfId="768"/>
    <cellStyle name="Финансовый 2 6 4 2" xfId="1623"/>
    <cellStyle name="Финансовый 2 6 4 2 2" xfId="3337"/>
    <cellStyle name="Финансовый 2 6 4 3" xfId="2482"/>
    <cellStyle name="Финансовый 2 6 5" xfId="1110"/>
    <cellStyle name="Финансовый 2 6 5 2" xfId="2824"/>
    <cellStyle name="Финансовый 2 6 6" xfId="1969"/>
    <cellStyle name="Финансовый 2 7" xfId="255"/>
    <cellStyle name="Финансовый 2 7 2" xfId="595"/>
    <cellStyle name="Финансовый 2 7 2 2" xfId="937"/>
    <cellStyle name="Финансовый 2 7 2 2 2" xfId="1792"/>
    <cellStyle name="Финансовый 2 7 2 2 2 2" xfId="3506"/>
    <cellStyle name="Финансовый 2 7 2 2 3" xfId="2651"/>
    <cellStyle name="Финансовый 2 7 2 3" xfId="1450"/>
    <cellStyle name="Финансовый 2 7 2 3 2" xfId="3164"/>
    <cellStyle name="Финансовый 2 7 2 4" xfId="2309"/>
    <cellStyle name="Финансовый 2 7 3" xfId="426"/>
    <cellStyle name="Финансовый 2 7 3 2" xfId="1282"/>
    <cellStyle name="Финансовый 2 7 3 2 2" xfId="2996"/>
    <cellStyle name="Финансовый 2 7 3 3" xfId="2141"/>
    <cellStyle name="Финансовый 2 7 4" xfId="769"/>
    <cellStyle name="Финансовый 2 7 4 2" xfId="1624"/>
    <cellStyle name="Финансовый 2 7 4 2 2" xfId="3338"/>
    <cellStyle name="Финансовый 2 7 4 3" xfId="2483"/>
    <cellStyle name="Финансовый 2 7 5" xfId="1111"/>
    <cellStyle name="Финансовый 2 7 5 2" xfId="2825"/>
    <cellStyle name="Финансовый 2 7 6" xfId="1970"/>
    <cellStyle name="Финансовый 2 8" xfId="577"/>
    <cellStyle name="Финансовый 2 8 2" xfId="919"/>
    <cellStyle name="Финансовый 2 8 2 2" xfId="1774"/>
    <cellStyle name="Финансовый 2 8 2 2 2" xfId="3488"/>
    <cellStyle name="Финансовый 2 8 2 3" xfId="2633"/>
    <cellStyle name="Финансовый 2 8 3" xfId="1432"/>
    <cellStyle name="Финансовый 2 8 3 2" xfId="3146"/>
    <cellStyle name="Финансовый 2 8 4" xfId="2291"/>
    <cellStyle name="Финансовый 2 9" xfId="273"/>
    <cellStyle name="Финансовый 2 9 2" xfId="1129"/>
    <cellStyle name="Финансовый 2 9 2 2" xfId="2843"/>
    <cellStyle name="Финансовый 2 9 3" xfId="1988"/>
    <cellStyle name="Финансовый 3" xfId="52"/>
    <cellStyle name="Финансовый 3 10" xfId="617"/>
    <cellStyle name="Финансовый 3 10 2" xfId="1472"/>
    <cellStyle name="Финансовый 3 10 2 2" xfId="3186"/>
    <cellStyle name="Финансовый 3 10 3" xfId="2331"/>
    <cellStyle name="Финансовый 3 11" xfId="959"/>
    <cellStyle name="Финансовый 3 11 2" xfId="2673"/>
    <cellStyle name="Финансовый 3 12" xfId="1818"/>
    <cellStyle name="Финансовый 3 2" xfId="120"/>
    <cellStyle name="Финансовый 3 2 2" xfId="256"/>
    <cellStyle name="Финансовый 3 2 2 2" xfId="257"/>
    <cellStyle name="Финансовый 3 2 2 2 2" xfId="599"/>
    <cellStyle name="Финансовый 3 2 2 2 2 2" xfId="941"/>
    <cellStyle name="Финансовый 3 2 2 2 2 2 2" xfId="1796"/>
    <cellStyle name="Финансовый 3 2 2 2 2 2 2 2" xfId="3510"/>
    <cellStyle name="Финансовый 3 2 2 2 2 2 3" xfId="2655"/>
    <cellStyle name="Финансовый 3 2 2 2 2 3" xfId="1454"/>
    <cellStyle name="Финансовый 3 2 2 2 2 3 2" xfId="3168"/>
    <cellStyle name="Финансовый 3 2 2 2 2 4" xfId="2313"/>
    <cellStyle name="Финансовый 3 2 2 2 3" xfId="428"/>
    <cellStyle name="Финансовый 3 2 2 2 3 2" xfId="1284"/>
    <cellStyle name="Финансовый 3 2 2 2 3 2 2" xfId="2998"/>
    <cellStyle name="Финансовый 3 2 2 2 3 3" xfId="2143"/>
    <cellStyle name="Финансовый 3 2 2 2 4" xfId="771"/>
    <cellStyle name="Финансовый 3 2 2 2 4 2" xfId="1626"/>
    <cellStyle name="Финансовый 3 2 2 2 4 2 2" xfId="3340"/>
    <cellStyle name="Финансовый 3 2 2 2 4 3" xfId="2485"/>
    <cellStyle name="Финансовый 3 2 2 2 5" xfId="1113"/>
    <cellStyle name="Финансовый 3 2 2 2 5 2" xfId="2827"/>
    <cellStyle name="Финансовый 3 2 2 2 6" xfId="1972"/>
    <cellStyle name="Финансовый 3 2 2 3" xfId="258"/>
    <cellStyle name="Финансовый 3 2 2 3 2" xfId="600"/>
    <cellStyle name="Финансовый 3 2 2 3 2 2" xfId="942"/>
    <cellStyle name="Финансовый 3 2 2 3 2 2 2" xfId="1797"/>
    <cellStyle name="Финансовый 3 2 2 3 2 2 2 2" xfId="3511"/>
    <cellStyle name="Финансовый 3 2 2 3 2 2 3" xfId="2656"/>
    <cellStyle name="Финансовый 3 2 2 3 2 3" xfId="1455"/>
    <cellStyle name="Финансовый 3 2 2 3 2 3 2" xfId="3169"/>
    <cellStyle name="Финансовый 3 2 2 3 2 4" xfId="2314"/>
    <cellStyle name="Финансовый 3 2 2 3 3" xfId="429"/>
    <cellStyle name="Финансовый 3 2 2 3 3 2" xfId="1285"/>
    <cellStyle name="Финансовый 3 2 2 3 3 2 2" xfId="2999"/>
    <cellStyle name="Финансовый 3 2 2 3 3 3" xfId="2144"/>
    <cellStyle name="Финансовый 3 2 2 3 4" xfId="772"/>
    <cellStyle name="Финансовый 3 2 2 3 4 2" xfId="1627"/>
    <cellStyle name="Финансовый 3 2 2 3 4 2 2" xfId="3341"/>
    <cellStyle name="Финансовый 3 2 2 3 4 3" xfId="2486"/>
    <cellStyle name="Финансовый 3 2 2 3 5" xfId="1114"/>
    <cellStyle name="Финансовый 3 2 2 3 5 2" xfId="2828"/>
    <cellStyle name="Финансовый 3 2 2 3 6" xfId="1973"/>
    <cellStyle name="Финансовый 3 2 2 4" xfId="598"/>
    <cellStyle name="Финансовый 3 2 2 4 2" xfId="940"/>
    <cellStyle name="Финансовый 3 2 2 4 2 2" xfId="1795"/>
    <cellStyle name="Финансовый 3 2 2 4 2 2 2" xfId="3509"/>
    <cellStyle name="Финансовый 3 2 2 4 2 3" xfId="2654"/>
    <cellStyle name="Финансовый 3 2 2 4 3" xfId="1453"/>
    <cellStyle name="Финансовый 3 2 2 4 3 2" xfId="3167"/>
    <cellStyle name="Финансовый 3 2 2 4 4" xfId="2312"/>
    <cellStyle name="Финансовый 3 2 2 5" xfId="427"/>
    <cellStyle name="Финансовый 3 2 2 5 2" xfId="1283"/>
    <cellStyle name="Финансовый 3 2 2 5 2 2" xfId="2997"/>
    <cellStyle name="Финансовый 3 2 2 5 3" xfId="2142"/>
    <cellStyle name="Финансовый 3 2 2 6" xfId="770"/>
    <cellStyle name="Финансовый 3 2 2 6 2" xfId="1625"/>
    <cellStyle name="Финансовый 3 2 2 6 2 2" xfId="3339"/>
    <cellStyle name="Финансовый 3 2 2 6 3" xfId="2484"/>
    <cellStyle name="Финансовый 3 2 2 7" xfId="1112"/>
    <cellStyle name="Финансовый 3 2 2 7 2" xfId="2826"/>
    <cellStyle name="Финансовый 3 2 2 8" xfId="1971"/>
    <cellStyle name="Финансовый 3 2 3" xfId="259"/>
    <cellStyle name="Финансовый 3 2 3 2" xfId="601"/>
    <cellStyle name="Финансовый 3 2 3 2 2" xfId="943"/>
    <cellStyle name="Финансовый 3 2 3 2 2 2" xfId="1798"/>
    <cellStyle name="Финансовый 3 2 3 2 2 2 2" xfId="3512"/>
    <cellStyle name="Финансовый 3 2 3 2 2 3" xfId="2657"/>
    <cellStyle name="Финансовый 3 2 3 2 3" xfId="1456"/>
    <cellStyle name="Финансовый 3 2 3 2 3 2" xfId="3170"/>
    <cellStyle name="Финансовый 3 2 3 2 4" xfId="2315"/>
    <cellStyle name="Финансовый 3 2 3 3" xfId="430"/>
    <cellStyle name="Финансовый 3 2 3 3 2" xfId="1286"/>
    <cellStyle name="Финансовый 3 2 3 3 2 2" xfId="3000"/>
    <cellStyle name="Финансовый 3 2 3 3 3" xfId="2145"/>
    <cellStyle name="Финансовый 3 2 3 4" xfId="773"/>
    <cellStyle name="Финансовый 3 2 3 4 2" xfId="1628"/>
    <cellStyle name="Финансовый 3 2 3 4 2 2" xfId="3342"/>
    <cellStyle name="Финансовый 3 2 3 4 3" xfId="2487"/>
    <cellStyle name="Финансовый 3 2 3 5" xfId="1115"/>
    <cellStyle name="Финансовый 3 2 3 5 2" xfId="2829"/>
    <cellStyle name="Финансовый 3 2 3 6" xfId="1974"/>
    <cellStyle name="Финансовый 3 2 4" xfId="260"/>
    <cellStyle name="Финансовый 3 2 4 2" xfId="602"/>
    <cellStyle name="Финансовый 3 2 4 2 2" xfId="944"/>
    <cellStyle name="Финансовый 3 2 4 2 2 2" xfId="1799"/>
    <cellStyle name="Финансовый 3 2 4 2 2 2 2" xfId="3513"/>
    <cellStyle name="Финансовый 3 2 4 2 2 3" xfId="2658"/>
    <cellStyle name="Финансовый 3 2 4 2 3" xfId="1457"/>
    <cellStyle name="Финансовый 3 2 4 2 3 2" xfId="3171"/>
    <cellStyle name="Финансовый 3 2 4 2 4" xfId="2316"/>
    <cellStyle name="Финансовый 3 2 4 3" xfId="431"/>
    <cellStyle name="Финансовый 3 2 4 3 2" xfId="1287"/>
    <cellStyle name="Финансовый 3 2 4 3 2 2" xfId="3001"/>
    <cellStyle name="Финансовый 3 2 4 3 3" xfId="2146"/>
    <cellStyle name="Финансовый 3 2 4 4" xfId="774"/>
    <cellStyle name="Финансовый 3 2 4 4 2" xfId="1629"/>
    <cellStyle name="Финансовый 3 2 4 4 2 2" xfId="3343"/>
    <cellStyle name="Финансовый 3 2 4 4 3" xfId="2488"/>
    <cellStyle name="Финансовый 3 2 4 5" xfId="1116"/>
    <cellStyle name="Финансовый 3 2 4 5 2" xfId="2830"/>
    <cellStyle name="Финансовый 3 2 4 6" xfId="1975"/>
    <cellStyle name="Финансовый 3 2 5" xfId="597"/>
    <cellStyle name="Финансовый 3 2 5 2" xfId="939"/>
    <cellStyle name="Финансовый 3 2 5 2 2" xfId="1794"/>
    <cellStyle name="Финансовый 3 2 5 2 2 2" xfId="3508"/>
    <cellStyle name="Финансовый 3 2 5 2 3" xfId="2653"/>
    <cellStyle name="Финансовый 3 2 5 3" xfId="1452"/>
    <cellStyle name="Финансовый 3 2 5 3 2" xfId="3166"/>
    <cellStyle name="Финансовый 3 2 5 4" xfId="2311"/>
    <cellStyle name="Финансовый 3 2 6" xfId="291"/>
    <cellStyle name="Финансовый 3 2 6 2" xfId="1147"/>
    <cellStyle name="Финансовый 3 2 6 2 2" xfId="2861"/>
    <cellStyle name="Финансовый 3 2 6 3" xfId="2006"/>
    <cellStyle name="Финансовый 3 2 7" xfId="634"/>
    <cellStyle name="Финансовый 3 2 7 2" xfId="1489"/>
    <cellStyle name="Финансовый 3 2 7 2 2" xfId="3203"/>
    <cellStyle name="Финансовый 3 2 7 3" xfId="2348"/>
    <cellStyle name="Финансовый 3 2 8" xfId="976"/>
    <cellStyle name="Финансовый 3 2 8 2" xfId="2690"/>
    <cellStyle name="Финансовый 3 2 9" xfId="1835"/>
    <cellStyle name="Финансовый 3 3" xfId="113"/>
    <cellStyle name="Финансовый 3 3 2" xfId="261"/>
    <cellStyle name="Финансовый 3 3 2 2" xfId="262"/>
    <cellStyle name="Финансовый 3 3 2 2 2" xfId="605"/>
    <cellStyle name="Финансовый 3 3 2 2 2 2" xfId="947"/>
    <cellStyle name="Финансовый 3 3 2 2 2 2 2" xfId="1802"/>
    <cellStyle name="Финансовый 3 3 2 2 2 2 2 2" xfId="3516"/>
    <cellStyle name="Финансовый 3 3 2 2 2 2 3" xfId="2661"/>
    <cellStyle name="Финансовый 3 3 2 2 2 3" xfId="1460"/>
    <cellStyle name="Финансовый 3 3 2 2 2 3 2" xfId="3174"/>
    <cellStyle name="Финансовый 3 3 2 2 2 4" xfId="2319"/>
    <cellStyle name="Финансовый 3 3 2 2 3" xfId="433"/>
    <cellStyle name="Финансовый 3 3 2 2 3 2" xfId="1289"/>
    <cellStyle name="Финансовый 3 3 2 2 3 2 2" xfId="3003"/>
    <cellStyle name="Финансовый 3 3 2 2 3 3" xfId="2148"/>
    <cellStyle name="Финансовый 3 3 2 2 4" xfId="776"/>
    <cellStyle name="Финансовый 3 3 2 2 4 2" xfId="1631"/>
    <cellStyle name="Финансовый 3 3 2 2 4 2 2" xfId="3345"/>
    <cellStyle name="Финансовый 3 3 2 2 4 3" xfId="2490"/>
    <cellStyle name="Финансовый 3 3 2 2 5" xfId="1118"/>
    <cellStyle name="Финансовый 3 3 2 2 5 2" xfId="2832"/>
    <cellStyle name="Финансовый 3 3 2 2 6" xfId="1977"/>
    <cellStyle name="Финансовый 3 3 2 3" xfId="263"/>
    <cellStyle name="Финансовый 3 3 2 3 2" xfId="606"/>
    <cellStyle name="Финансовый 3 3 2 3 2 2" xfId="948"/>
    <cellStyle name="Финансовый 3 3 2 3 2 2 2" xfId="1803"/>
    <cellStyle name="Финансовый 3 3 2 3 2 2 2 2" xfId="3517"/>
    <cellStyle name="Финансовый 3 3 2 3 2 2 3" xfId="2662"/>
    <cellStyle name="Финансовый 3 3 2 3 2 3" xfId="1461"/>
    <cellStyle name="Финансовый 3 3 2 3 2 3 2" xfId="3175"/>
    <cellStyle name="Финансовый 3 3 2 3 2 4" xfId="2320"/>
    <cellStyle name="Финансовый 3 3 2 3 3" xfId="434"/>
    <cellStyle name="Финансовый 3 3 2 3 3 2" xfId="1290"/>
    <cellStyle name="Финансовый 3 3 2 3 3 2 2" xfId="3004"/>
    <cellStyle name="Финансовый 3 3 2 3 3 3" xfId="2149"/>
    <cellStyle name="Финансовый 3 3 2 3 4" xfId="777"/>
    <cellStyle name="Финансовый 3 3 2 3 4 2" xfId="1632"/>
    <cellStyle name="Финансовый 3 3 2 3 4 2 2" xfId="3346"/>
    <cellStyle name="Финансовый 3 3 2 3 4 3" xfId="2491"/>
    <cellStyle name="Финансовый 3 3 2 3 5" xfId="1119"/>
    <cellStyle name="Финансовый 3 3 2 3 5 2" xfId="2833"/>
    <cellStyle name="Финансовый 3 3 2 3 6" xfId="1978"/>
    <cellStyle name="Финансовый 3 3 2 4" xfId="604"/>
    <cellStyle name="Финансовый 3 3 2 4 2" xfId="946"/>
    <cellStyle name="Финансовый 3 3 2 4 2 2" xfId="1801"/>
    <cellStyle name="Финансовый 3 3 2 4 2 2 2" xfId="3515"/>
    <cellStyle name="Финансовый 3 3 2 4 2 3" xfId="2660"/>
    <cellStyle name="Финансовый 3 3 2 4 3" xfId="1459"/>
    <cellStyle name="Финансовый 3 3 2 4 3 2" xfId="3173"/>
    <cellStyle name="Финансовый 3 3 2 4 4" xfId="2318"/>
    <cellStyle name="Финансовый 3 3 2 5" xfId="432"/>
    <cellStyle name="Финансовый 3 3 2 5 2" xfId="1288"/>
    <cellStyle name="Финансовый 3 3 2 5 2 2" xfId="3002"/>
    <cellStyle name="Финансовый 3 3 2 5 3" xfId="2147"/>
    <cellStyle name="Финансовый 3 3 2 6" xfId="775"/>
    <cellStyle name="Финансовый 3 3 2 6 2" xfId="1630"/>
    <cellStyle name="Финансовый 3 3 2 6 2 2" xfId="3344"/>
    <cellStyle name="Финансовый 3 3 2 6 3" xfId="2489"/>
    <cellStyle name="Финансовый 3 3 2 7" xfId="1117"/>
    <cellStyle name="Финансовый 3 3 2 7 2" xfId="2831"/>
    <cellStyle name="Финансовый 3 3 2 8" xfId="1976"/>
    <cellStyle name="Финансовый 3 3 3" xfId="264"/>
    <cellStyle name="Финансовый 3 3 3 2" xfId="607"/>
    <cellStyle name="Финансовый 3 3 3 2 2" xfId="949"/>
    <cellStyle name="Финансовый 3 3 3 2 2 2" xfId="1804"/>
    <cellStyle name="Финансовый 3 3 3 2 2 2 2" xfId="3518"/>
    <cellStyle name="Финансовый 3 3 3 2 2 3" xfId="2663"/>
    <cellStyle name="Финансовый 3 3 3 2 3" xfId="1462"/>
    <cellStyle name="Финансовый 3 3 3 2 3 2" xfId="3176"/>
    <cellStyle name="Финансовый 3 3 3 2 4" xfId="2321"/>
    <cellStyle name="Финансовый 3 3 3 3" xfId="435"/>
    <cellStyle name="Финансовый 3 3 3 3 2" xfId="1291"/>
    <cellStyle name="Финансовый 3 3 3 3 2 2" xfId="3005"/>
    <cellStyle name="Финансовый 3 3 3 3 3" xfId="2150"/>
    <cellStyle name="Финансовый 3 3 3 4" xfId="778"/>
    <cellStyle name="Финансовый 3 3 3 4 2" xfId="1633"/>
    <cellStyle name="Финансовый 3 3 3 4 2 2" xfId="3347"/>
    <cellStyle name="Финансовый 3 3 3 4 3" xfId="2492"/>
    <cellStyle name="Финансовый 3 3 3 5" xfId="1120"/>
    <cellStyle name="Финансовый 3 3 3 5 2" xfId="2834"/>
    <cellStyle name="Финансовый 3 3 3 6" xfId="1979"/>
    <cellStyle name="Финансовый 3 3 4" xfId="265"/>
    <cellStyle name="Финансовый 3 3 4 2" xfId="608"/>
    <cellStyle name="Финансовый 3 3 4 2 2" xfId="950"/>
    <cellStyle name="Финансовый 3 3 4 2 2 2" xfId="1805"/>
    <cellStyle name="Финансовый 3 3 4 2 2 2 2" xfId="3519"/>
    <cellStyle name="Финансовый 3 3 4 2 2 3" xfId="2664"/>
    <cellStyle name="Финансовый 3 3 4 2 3" xfId="1463"/>
    <cellStyle name="Финансовый 3 3 4 2 3 2" xfId="3177"/>
    <cellStyle name="Финансовый 3 3 4 2 4" xfId="2322"/>
    <cellStyle name="Финансовый 3 3 4 3" xfId="436"/>
    <cellStyle name="Финансовый 3 3 4 3 2" xfId="1292"/>
    <cellStyle name="Финансовый 3 3 4 3 2 2" xfId="3006"/>
    <cellStyle name="Финансовый 3 3 4 3 3" xfId="2151"/>
    <cellStyle name="Финансовый 3 3 4 4" xfId="779"/>
    <cellStyle name="Финансовый 3 3 4 4 2" xfId="1634"/>
    <cellStyle name="Финансовый 3 3 4 4 2 2" xfId="3348"/>
    <cellStyle name="Финансовый 3 3 4 4 3" xfId="2493"/>
    <cellStyle name="Финансовый 3 3 4 5" xfId="1121"/>
    <cellStyle name="Финансовый 3 3 4 5 2" xfId="2835"/>
    <cellStyle name="Финансовый 3 3 4 6" xfId="1980"/>
    <cellStyle name="Финансовый 3 3 5" xfId="603"/>
    <cellStyle name="Финансовый 3 3 5 2" xfId="945"/>
    <cellStyle name="Финансовый 3 3 5 2 2" xfId="1800"/>
    <cellStyle name="Финансовый 3 3 5 2 2 2" xfId="3514"/>
    <cellStyle name="Финансовый 3 3 5 2 3" xfId="2659"/>
    <cellStyle name="Финансовый 3 3 5 3" xfId="1458"/>
    <cellStyle name="Финансовый 3 3 5 3 2" xfId="3172"/>
    <cellStyle name="Финансовый 3 3 5 4" xfId="2317"/>
    <cellStyle name="Финансовый 3 3 6" xfId="284"/>
    <cellStyle name="Финансовый 3 3 6 2" xfId="1140"/>
    <cellStyle name="Финансовый 3 3 6 2 2" xfId="2854"/>
    <cellStyle name="Финансовый 3 3 6 3" xfId="1999"/>
    <cellStyle name="Финансовый 3 3 7" xfId="627"/>
    <cellStyle name="Финансовый 3 3 7 2" xfId="1482"/>
    <cellStyle name="Финансовый 3 3 7 2 2" xfId="3196"/>
    <cellStyle name="Финансовый 3 3 7 3" xfId="2341"/>
    <cellStyle name="Финансовый 3 3 8" xfId="969"/>
    <cellStyle name="Финансовый 3 3 8 2" xfId="2683"/>
    <cellStyle name="Финансовый 3 3 9" xfId="1828"/>
    <cellStyle name="Финансовый 3 4" xfId="266"/>
    <cellStyle name="Финансовый 3 4 2" xfId="267"/>
    <cellStyle name="Финансовый 3 4 2 2" xfId="610"/>
    <cellStyle name="Финансовый 3 4 2 2 2" xfId="952"/>
    <cellStyle name="Финансовый 3 4 2 2 2 2" xfId="1807"/>
    <cellStyle name="Финансовый 3 4 2 2 2 2 2" xfId="3521"/>
    <cellStyle name="Финансовый 3 4 2 2 2 3" xfId="2666"/>
    <cellStyle name="Финансовый 3 4 2 2 3" xfId="1465"/>
    <cellStyle name="Финансовый 3 4 2 2 3 2" xfId="3179"/>
    <cellStyle name="Финансовый 3 4 2 2 4" xfId="2324"/>
    <cellStyle name="Финансовый 3 4 2 3" xfId="438"/>
    <cellStyle name="Финансовый 3 4 2 3 2" xfId="1294"/>
    <cellStyle name="Финансовый 3 4 2 3 2 2" xfId="3008"/>
    <cellStyle name="Финансовый 3 4 2 3 3" xfId="2153"/>
    <cellStyle name="Финансовый 3 4 2 4" xfId="781"/>
    <cellStyle name="Финансовый 3 4 2 4 2" xfId="1636"/>
    <cellStyle name="Финансовый 3 4 2 4 2 2" xfId="3350"/>
    <cellStyle name="Финансовый 3 4 2 4 3" xfId="2495"/>
    <cellStyle name="Финансовый 3 4 2 5" xfId="1123"/>
    <cellStyle name="Финансовый 3 4 2 5 2" xfId="2837"/>
    <cellStyle name="Финансовый 3 4 2 6" xfId="1982"/>
    <cellStyle name="Финансовый 3 4 3" xfId="268"/>
    <cellStyle name="Финансовый 3 4 3 2" xfId="611"/>
    <cellStyle name="Финансовый 3 4 3 2 2" xfId="953"/>
    <cellStyle name="Финансовый 3 4 3 2 2 2" xfId="1808"/>
    <cellStyle name="Финансовый 3 4 3 2 2 2 2" xfId="3522"/>
    <cellStyle name="Финансовый 3 4 3 2 2 3" xfId="2667"/>
    <cellStyle name="Финансовый 3 4 3 2 3" xfId="1466"/>
    <cellStyle name="Финансовый 3 4 3 2 3 2" xfId="3180"/>
    <cellStyle name="Финансовый 3 4 3 2 4" xfId="2325"/>
    <cellStyle name="Финансовый 3 4 3 3" xfId="439"/>
    <cellStyle name="Финансовый 3 4 3 3 2" xfId="1295"/>
    <cellStyle name="Финансовый 3 4 3 3 2 2" xfId="3009"/>
    <cellStyle name="Финансовый 3 4 3 3 3" xfId="2154"/>
    <cellStyle name="Финансовый 3 4 3 4" xfId="782"/>
    <cellStyle name="Финансовый 3 4 3 4 2" xfId="1637"/>
    <cellStyle name="Финансовый 3 4 3 4 2 2" xfId="3351"/>
    <cellStyle name="Финансовый 3 4 3 4 3" xfId="2496"/>
    <cellStyle name="Финансовый 3 4 3 5" xfId="1124"/>
    <cellStyle name="Финансовый 3 4 3 5 2" xfId="2838"/>
    <cellStyle name="Финансовый 3 4 3 6" xfId="1983"/>
    <cellStyle name="Финансовый 3 4 4" xfId="609"/>
    <cellStyle name="Финансовый 3 4 4 2" xfId="951"/>
    <cellStyle name="Финансовый 3 4 4 2 2" xfId="1806"/>
    <cellStyle name="Финансовый 3 4 4 2 2 2" xfId="3520"/>
    <cellStyle name="Финансовый 3 4 4 2 3" xfId="2665"/>
    <cellStyle name="Финансовый 3 4 4 3" xfId="1464"/>
    <cellStyle name="Финансовый 3 4 4 3 2" xfId="3178"/>
    <cellStyle name="Финансовый 3 4 4 4" xfId="2323"/>
    <cellStyle name="Финансовый 3 4 5" xfId="437"/>
    <cellStyle name="Финансовый 3 4 5 2" xfId="1293"/>
    <cellStyle name="Финансовый 3 4 5 2 2" xfId="3007"/>
    <cellStyle name="Финансовый 3 4 5 3" xfId="2152"/>
    <cellStyle name="Финансовый 3 4 6" xfId="780"/>
    <cellStyle name="Финансовый 3 4 6 2" xfId="1635"/>
    <cellStyle name="Финансовый 3 4 6 2 2" xfId="3349"/>
    <cellStyle name="Финансовый 3 4 6 3" xfId="2494"/>
    <cellStyle name="Финансовый 3 4 7" xfId="1122"/>
    <cellStyle name="Финансовый 3 4 7 2" xfId="2836"/>
    <cellStyle name="Финансовый 3 4 8" xfId="1981"/>
    <cellStyle name="Финансовый 3 5" xfId="269"/>
    <cellStyle name="Финансовый 3 5 2" xfId="612"/>
    <cellStyle name="Финансовый 3 5 2 2" xfId="954"/>
    <cellStyle name="Финансовый 3 5 2 2 2" xfId="1809"/>
    <cellStyle name="Финансовый 3 5 2 2 2 2" xfId="3523"/>
    <cellStyle name="Финансовый 3 5 2 2 3" xfId="2668"/>
    <cellStyle name="Финансовый 3 5 2 3" xfId="1467"/>
    <cellStyle name="Финансовый 3 5 2 3 2" xfId="3181"/>
    <cellStyle name="Финансовый 3 5 2 4" xfId="2326"/>
    <cellStyle name="Финансовый 3 5 3" xfId="440"/>
    <cellStyle name="Финансовый 3 5 3 2" xfId="1296"/>
    <cellStyle name="Финансовый 3 5 3 2 2" xfId="3010"/>
    <cellStyle name="Финансовый 3 5 3 3" xfId="2155"/>
    <cellStyle name="Финансовый 3 5 4" xfId="783"/>
    <cellStyle name="Финансовый 3 5 4 2" xfId="1638"/>
    <cellStyle name="Финансовый 3 5 4 2 2" xfId="3352"/>
    <cellStyle name="Финансовый 3 5 4 3" xfId="2497"/>
    <cellStyle name="Финансовый 3 5 5" xfId="1125"/>
    <cellStyle name="Финансовый 3 5 5 2" xfId="2839"/>
    <cellStyle name="Финансовый 3 5 6" xfId="1984"/>
    <cellStyle name="Финансовый 3 6" xfId="270"/>
    <cellStyle name="Финансовый 3 6 2" xfId="613"/>
    <cellStyle name="Финансовый 3 6 2 2" xfId="955"/>
    <cellStyle name="Финансовый 3 6 2 2 2" xfId="1810"/>
    <cellStyle name="Финансовый 3 6 2 2 2 2" xfId="3524"/>
    <cellStyle name="Финансовый 3 6 2 2 3" xfId="2669"/>
    <cellStyle name="Финансовый 3 6 2 3" xfId="1468"/>
    <cellStyle name="Финансовый 3 6 2 3 2" xfId="3182"/>
    <cellStyle name="Финансовый 3 6 2 4" xfId="2327"/>
    <cellStyle name="Финансовый 3 6 3" xfId="441"/>
    <cellStyle name="Финансовый 3 6 3 2" xfId="1297"/>
    <cellStyle name="Финансовый 3 6 3 2 2" xfId="3011"/>
    <cellStyle name="Финансовый 3 6 3 3" xfId="2156"/>
    <cellStyle name="Финансовый 3 6 4" xfId="784"/>
    <cellStyle name="Финансовый 3 6 4 2" xfId="1639"/>
    <cellStyle name="Финансовый 3 6 4 2 2" xfId="3353"/>
    <cellStyle name="Финансовый 3 6 4 3" xfId="2498"/>
    <cellStyle name="Финансовый 3 6 5" xfId="1126"/>
    <cellStyle name="Финансовый 3 6 5 2" xfId="2840"/>
    <cellStyle name="Финансовый 3 6 6" xfId="1985"/>
    <cellStyle name="Финансовый 3 7" xfId="271"/>
    <cellStyle name="Финансовый 3 7 2" xfId="614"/>
    <cellStyle name="Финансовый 3 7 2 2" xfId="956"/>
    <cellStyle name="Финансовый 3 7 2 2 2" xfId="1811"/>
    <cellStyle name="Финансовый 3 7 2 2 2 2" xfId="3525"/>
    <cellStyle name="Финансовый 3 7 2 2 3" xfId="2670"/>
    <cellStyle name="Финансовый 3 7 2 3" xfId="1469"/>
    <cellStyle name="Финансовый 3 7 2 3 2" xfId="3183"/>
    <cellStyle name="Финансовый 3 7 2 4" xfId="2328"/>
    <cellStyle name="Финансовый 3 7 3" xfId="442"/>
    <cellStyle name="Финансовый 3 7 3 2" xfId="1298"/>
    <cellStyle name="Финансовый 3 7 3 2 2" xfId="3012"/>
    <cellStyle name="Финансовый 3 7 3 3" xfId="2157"/>
    <cellStyle name="Финансовый 3 7 4" xfId="785"/>
    <cellStyle name="Финансовый 3 7 4 2" xfId="1640"/>
    <cellStyle name="Финансовый 3 7 4 2 2" xfId="3354"/>
    <cellStyle name="Финансовый 3 7 4 3" xfId="2499"/>
    <cellStyle name="Финансовый 3 7 5" xfId="1127"/>
    <cellStyle name="Финансовый 3 7 5 2" xfId="2841"/>
    <cellStyle name="Финансовый 3 7 6" xfId="1986"/>
    <cellStyle name="Финансовый 3 8" xfId="596"/>
    <cellStyle name="Финансовый 3 8 2" xfId="938"/>
    <cellStyle name="Финансовый 3 8 2 2" xfId="1793"/>
    <cellStyle name="Финансовый 3 8 2 2 2" xfId="3507"/>
    <cellStyle name="Финансовый 3 8 2 3" xfId="2652"/>
    <cellStyle name="Финансовый 3 8 3" xfId="1451"/>
    <cellStyle name="Финансовый 3 8 3 2" xfId="3165"/>
    <cellStyle name="Финансовый 3 8 4" xfId="2310"/>
    <cellStyle name="Финансовый 3 9" xfId="274"/>
    <cellStyle name="Финансовый 3 9 2" xfId="1130"/>
    <cellStyle name="Финансовый 3 9 2 2" xfId="2844"/>
    <cellStyle name="Финансовый 3 9 3" xfId="1989"/>
    <cellStyle name="Финансовый 4" xfId="1813"/>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78"/>
  <sheetViews>
    <sheetView view="pageBreakPreview" topLeftCell="A19" zoomScale="40" zoomScaleNormal="50" zoomScaleSheetLayoutView="40" workbookViewId="0">
      <selection activeCell="C53" sqref="C53"/>
    </sheetView>
  </sheetViews>
  <sheetFormatPr defaultRowHeight="23.25" x14ac:dyDescent="0.35"/>
  <cols>
    <col min="1" max="1" width="15.875" style="129" customWidth="1"/>
    <col min="2" max="2" width="57.375" style="129" customWidth="1"/>
    <col min="3" max="3" width="44" style="129" customWidth="1"/>
    <col min="4" max="4" width="7.75" style="129" bestFit="1" customWidth="1"/>
    <col min="5" max="5" width="14.625" style="129" bestFit="1" customWidth="1"/>
    <col min="6" max="6" width="7.75" style="129" bestFit="1" customWidth="1"/>
    <col min="7" max="7" width="14.625" style="129" bestFit="1" customWidth="1"/>
    <col min="8" max="8" width="17.625" style="129" bestFit="1" customWidth="1"/>
    <col min="9" max="9" width="14.625" style="129" bestFit="1" customWidth="1"/>
    <col min="10" max="10" width="11.25" style="129" customWidth="1"/>
    <col min="11" max="11" width="14.625" style="129" bestFit="1" customWidth="1"/>
    <col min="12" max="12" width="7.75" style="129" bestFit="1" customWidth="1"/>
    <col min="13" max="13" width="14.625" style="129" bestFit="1" customWidth="1"/>
    <col min="14" max="14" width="11.5" style="136" customWidth="1"/>
    <col min="15" max="15" width="14.625" style="129" bestFit="1" customWidth="1"/>
    <col min="16" max="16" width="7.75" style="129" bestFit="1" customWidth="1"/>
    <col min="17" max="17" width="14.625" style="129" bestFit="1" customWidth="1"/>
    <col min="18" max="18" width="7.75" style="129" bestFit="1" customWidth="1"/>
    <col min="19" max="19" width="14.625" style="129" bestFit="1" customWidth="1"/>
    <col min="20" max="20" width="7.75" style="129" bestFit="1" customWidth="1"/>
    <col min="21" max="21" width="14.625" style="129" bestFit="1" customWidth="1"/>
    <col min="22" max="22" width="7.75" style="129" bestFit="1" customWidth="1"/>
    <col min="23" max="23" width="14.625" style="129" bestFit="1" customWidth="1"/>
    <col min="24" max="24" width="7.75" style="129" bestFit="1" customWidth="1"/>
    <col min="25" max="25" width="14.625" style="129" bestFit="1" customWidth="1"/>
    <col min="26" max="26" width="7.75" style="129" bestFit="1" customWidth="1"/>
    <col min="27" max="27" width="14.625" style="129" bestFit="1" customWidth="1"/>
    <col min="28" max="28" width="7.75" style="129" bestFit="1" customWidth="1"/>
    <col min="29" max="29" width="14.625" style="129" bestFit="1" customWidth="1"/>
    <col min="30" max="30" width="7.75" style="129" bestFit="1" customWidth="1"/>
    <col min="31" max="31" width="14.625" style="129" bestFit="1" customWidth="1"/>
    <col min="32" max="32" width="7.75" style="129" bestFit="1" customWidth="1"/>
    <col min="33" max="33" width="14.625" style="129" bestFit="1" customWidth="1"/>
    <col min="34" max="34" width="7.75" style="129" bestFit="1" customWidth="1"/>
    <col min="35" max="35" width="14.625" style="129" bestFit="1" customWidth="1"/>
    <col min="36" max="36" width="7.75" style="129" bestFit="1" customWidth="1"/>
    <col min="37" max="37" width="14.625" style="129" bestFit="1" customWidth="1"/>
    <col min="38" max="38" width="7.75" style="129" bestFit="1" customWidth="1"/>
    <col min="39" max="39" width="14.625" style="129" bestFit="1" customWidth="1"/>
    <col min="40" max="40" width="7.75" style="129" bestFit="1" customWidth="1"/>
    <col min="41" max="41" width="14.625" style="129" bestFit="1" customWidth="1"/>
    <col min="42" max="42" width="7.75" style="129" bestFit="1" customWidth="1"/>
    <col min="43" max="43" width="14.625" style="129" bestFit="1" customWidth="1"/>
    <col min="44" max="44" width="7.75" style="129" bestFit="1" customWidth="1"/>
    <col min="45" max="45" width="34.25" style="129" bestFit="1" customWidth="1"/>
    <col min="46" max="16384" width="9" style="129"/>
  </cols>
  <sheetData>
    <row r="1" spans="1:58" x14ac:dyDescent="0.35">
      <c r="AS1" s="138" t="s">
        <v>266</v>
      </c>
    </row>
    <row r="2" spans="1:58" ht="20.25" x14ac:dyDescent="0.3">
      <c r="J2" s="139"/>
      <c r="K2" s="1122"/>
      <c r="L2" s="1122"/>
      <c r="M2" s="1122"/>
      <c r="N2" s="1122"/>
      <c r="O2" s="139"/>
      <c r="AS2" s="140" t="s">
        <v>1</v>
      </c>
    </row>
    <row r="3" spans="1:58" x14ac:dyDescent="0.35">
      <c r="J3" s="141"/>
      <c r="K3" s="141"/>
      <c r="L3" s="141"/>
      <c r="M3" s="141"/>
      <c r="N3" s="160"/>
      <c r="O3" s="141"/>
      <c r="AS3" s="140" t="s">
        <v>265</v>
      </c>
    </row>
    <row r="4" spans="1:58" s="236" customFormat="1" ht="30.75" x14ac:dyDescent="0.45">
      <c r="A4" s="1123" t="s">
        <v>673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row>
    <row r="5" spans="1:58" s="236" customFormat="1" ht="30.75" x14ac:dyDescent="0.45">
      <c r="A5" s="1121" t="s">
        <v>931</v>
      </c>
      <c r="B5" s="1121"/>
      <c r="C5" s="1121"/>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row>
    <row r="6" spans="1:58" s="236" customFormat="1" ht="15.75" customHeight="1" x14ac:dyDescent="0.45"/>
    <row r="7" spans="1:58" s="236" customFormat="1" ht="21.75" customHeight="1" x14ac:dyDescent="0.45">
      <c r="A7" s="1124" t="s">
        <v>853</v>
      </c>
      <c r="B7" s="1124"/>
      <c r="C7" s="1124"/>
      <c r="D7" s="1124"/>
      <c r="E7" s="1124"/>
      <c r="F7" s="1124"/>
      <c r="G7" s="1124"/>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4"/>
      <c r="AG7" s="1124"/>
      <c r="AH7" s="1124"/>
      <c r="AI7" s="1124"/>
      <c r="AJ7" s="1124"/>
      <c r="AK7" s="1124"/>
      <c r="AL7" s="1124"/>
      <c r="AM7" s="1124"/>
      <c r="AN7" s="1124"/>
      <c r="AO7" s="1124"/>
      <c r="AP7" s="1124"/>
      <c r="AQ7" s="1124"/>
      <c r="AR7" s="1124"/>
      <c r="AS7" s="1124"/>
    </row>
    <row r="8" spans="1:58" s="236" customFormat="1" ht="30" customHeight="1" x14ac:dyDescent="0.45">
      <c r="A8" s="1125" t="s">
        <v>313</v>
      </c>
      <c r="B8" s="1125"/>
      <c r="C8" s="1125"/>
      <c r="D8" s="1125"/>
      <c r="E8" s="1125"/>
      <c r="F8" s="1125"/>
      <c r="G8" s="1125"/>
      <c r="H8" s="1125"/>
      <c r="I8" s="1125"/>
      <c r="J8" s="1125"/>
      <c r="K8" s="1125"/>
      <c r="L8" s="1125"/>
      <c r="M8" s="1125"/>
      <c r="N8" s="1125"/>
      <c r="O8" s="1125"/>
      <c r="P8" s="1125"/>
      <c r="Q8" s="1125"/>
      <c r="R8" s="1125"/>
      <c r="S8" s="1125"/>
      <c r="T8" s="1125"/>
      <c r="U8" s="1125"/>
      <c r="V8" s="1125"/>
      <c r="W8" s="1125"/>
      <c r="X8" s="1125"/>
      <c r="Y8" s="1125"/>
      <c r="Z8" s="1125"/>
      <c r="AA8" s="1125"/>
      <c r="AB8" s="1125"/>
      <c r="AC8" s="1125"/>
      <c r="AD8" s="1125"/>
      <c r="AE8" s="1125"/>
      <c r="AF8" s="1125"/>
      <c r="AG8" s="1125"/>
      <c r="AH8" s="1125"/>
      <c r="AI8" s="1125"/>
      <c r="AJ8" s="1125"/>
      <c r="AK8" s="1125"/>
      <c r="AL8" s="1125"/>
      <c r="AM8" s="1125"/>
      <c r="AN8" s="1125"/>
      <c r="AO8" s="1125"/>
      <c r="AP8" s="1125"/>
      <c r="AQ8" s="1125"/>
      <c r="AR8" s="1125"/>
      <c r="AS8" s="1125"/>
    </row>
    <row r="9" spans="1:58" s="236" customFormat="1" ht="30.75" x14ac:dyDescent="0.45"/>
    <row r="10" spans="1:58" s="236" customFormat="1" ht="60" customHeight="1" x14ac:dyDescent="0.45">
      <c r="A10" s="1124" t="s">
        <v>936</v>
      </c>
      <c r="B10" s="1124"/>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4"/>
      <c r="AH10" s="1124"/>
      <c r="AI10" s="1124"/>
      <c r="AJ10" s="1124"/>
      <c r="AK10" s="1124"/>
      <c r="AL10" s="1124"/>
      <c r="AM10" s="1124"/>
      <c r="AN10" s="1124"/>
      <c r="AO10" s="1124"/>
      <c r="AP10" s="1124"/>
      <c r="AQ10" s="1124"/>
      <c r="AR10" s="1124"/>
      <c r="AS10" s="1124"/>
    </row>
    <row r="11" spans="1:58" s="236" customFormat="1" ht="11.25" customHeight="1" x14ac:dyDescent="0.4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row>
    <row r="12" spans="1:58" s="435" customFormat="1" ht="40.5" customHeight="1" x14ac:dyDescent="0.45">
      <c r="A12" s="1118" t="s">
        <v>940</v>
      </c>
      <c r="B12" s="1118"/>
      <c r="C12" s="1118"/>
      <c r="D12" s="1118"/>
      <c r="E12" s="1118"/>
      <c r="F12" s="1118"/>
      <c r="G12" s="1118"/>
      <c r="H12" s="1118"/>
      <c r="I12" s="1118"/>
      <c r="J12" s="1118"/>
      <c r="K12" s="1118"/>
      <c r="L12" s="1118"/>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c r="AL12" s="1118"/>
      <c r="AM12" s="1118"/>
      <c r="AN12" s="1118"/>
      <c r="AO12" s="1118"/>
      <c r="AP12" s="1118"/>
      <c r="AQ12" s="1118"/>
      <c r="AR12" s="1118"/>
      <c r="AS12" s="1118"/>
      <c r="AT12" s="434"/>
      <c r="AU12" s="434"/>
      <c r="AV12" s="434"/>
      <c r="AW12" s="434"/>
      <c r="AX12" s="434"/>
      <c r="AY12" s="434"/>
      <c r="AZ12" s="434"/>
      <c r="BA12" s="434"/>
      <c r="BB12" s="434"/>
      <c r="BC12" s="434"/>
      <c r="BD12" s="434"/>
      <c r="BE12" s="434"/>
      <c r="BF12" s="434"/>
    </row>
    <row r="13" spans="1:58" s="435" customFormat="1" ht="30.75" customHeight="1" x14ac:dyDescent="0.45">
      <c r="A13" s="1118" t="s">
        <v>165</v>
      </c>
      <c r="B13" s="1118"/>
      <c r="C13" s="1118"/>
      <c r="D13" s="1118"/>
      <c r="E13" s="1118"/>
      <c r="F13" s="1118"/>
      <c r="G13" s="1118"/>
      <c r="H13" s="1118"/>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c r="AL13" s="1118"/>
      <c r="AM13" s="1118"/>
      <c r="AN13" s="1118"/>
      <c r="AO13" s="1118"/>
      <c r="AP13" s="1118"/>
      <c r="AQ13" s="1118"/>
      <c r="AR13" s="1118"/>
      <c r="AS13" s="1118"/>
      <c r="AT13" s="434"/>
      <c r="AU13" s="434"/>
      <c r="AV13" s="434"/>
      <c r="AW13" s="434"/>
      <c r="AX13" s="434"/>
      <c r="AY13" s="434"/>
      <c r="AZ13" s="434"/>
      <c r="BA13" s="434"/>
      <c r="BB13" s="434"/>
      <c r="BC13" s="434"/>
      <c r="BD13" s="434"/>
      <c r="BE13" s="434"/>
      <c r="BF13" s="434"/>
    </row>
    <row r="14" spans="1:58" s="435" customFormat="1" ht="15.75" customHeight="1" x14ac:dyDescent="0.45">
      <c r="A14" s="1118"/>
      <c r="B14" s="1118"/>
      <c r="C14" s="1118"/>
      <c r="D14" s="1118"/>
      <c r="E14" s="1118"/>
      <c r="F14" s="1118"/>
      <c r="G14" s="1118"/>
      <c r="H14" s="1118"/>
      <c r="I14" s="1118"/>
      <c r="J14" s="1118"/>
      <c r="K14" s="1118"/>
      <c r="L14" s="1118"/>
      <c r="M14" s="11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118"/>
      <c r="AL14" s="1118"/>
      <c r="AM14" s="1118"/>
      <c r="AN14" s="1118"/>
      <c r="AO14" s="1118"/>
      <c r="AP14" s="1118"/>
      <c r="AQ14" s="1118"/>
      <c r="AR14" s="1118"/>
      <c r="AS14" s="1118"/>
      <c r="AT14" s="434"/>
      <c r="AU14" s="434"/>
      <c r="AV14" s="434"/>
      <c r="AW14" s="434"/>
      <c r="AX14" s="434"/>
      <c r="AY14" s="434"/>
      <c r="AZ14" s="434"/>
      <c r="BA14" s="434"/>
      <c r="BB14" s="434"/>
      <c r="BC14" s="434"/>
      <c r="BD14" s="434"/>
      <c r="BE14" s="434"/>
      <c r="BF14" s="434"/>
    </row>
    <row r="15" spans="1:58" s="143" customFormat="1" ht="33.75" customHeight="1" x14ac:dyDescent="0.25">
      <c r="A15" s="1119" t="s">
        <v>179</v>
      </c>
      <c r="B15" s="1119" t="s">
        <v>31</v>
      </c>
      <c r="C15" s="1119" t="s">
        <v>4</v>
      </c>
      <c r="D15" s="1119" t="s">
        <v>166</v>
      </c>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1119"/>
      <c r="AR15" s="1119"/>
      <c r="AS15" s="1119"/>
    </row>
    <row r="16" spans="1:58" ht="145.5" customHeight="1" x14ac:dyDescent="0.3">
      <c r="A16" s="1119"/>
      <c r="B16" s="1119"/>
      <c r="C16" s="1119"/>
      <c r="D16" s="1119" t="s">
        <v>58</v>
      </c>
      <c r="E16" s="1119"/>
      <c r="F16" s="1119"/>
      <c r="G16" s="1119"/>
      <c r="H16" s="1119"/>
      <c r="I16" s="1119"/>
      <c r="J16" s="1119" t="s">
        <v>59</v>
      </c>
      <c r="K16" s="1119"/>
      <c r="L16" s="1119"/>
      <c r="M16" s="1119"/>
      <c r="N16" s="1119"/>
      <c r="O16" s="1119"/>
      <c r="P16" s="1119" t="s">
        <v>52</v>
      </c>
      <c r="Q16" s="1119"/>
      <c r="R16" s="1119"/>
      <c r="S16" s="1119"/>
      <c r="T16" s="1119"/>
      <c r="U16" s="1119"/>
      <c r="V16" s="1119" t="s">
        <v>53</v>
      </c>
      <c r="W16" s="1119"/>
      <c r="X16" s="1119"/>
      <c r="Y16" s="1119"/>
      <c r="Z16" s="1119"/>
      <c r="AA16" s="1119"/>
      <c r="AB16" s="1119" t="s">
        <v>33</v>
      </c>
      <c r="AC16" s="1119"/>
      <c r="AD16" s="1119"/>
      <c r="AE16" s="1119"/>
      <c r="AF16" s="1119"/>
      <c r="AG16" s="1119"/>
      <c r="AH16" s="1119" t="s">
        <v>50</v>
      </c>
      <c r="AI16" s="1119"/>
      <c r="AJ16" s="1119"/>
      <c r="AK16" s="1119"/>
      <c r="AL16" s="1119"/>
      <c r="AM16" s="1119"/>
      <c r="AN16" s="1119" t="s">
        <v>51</v>
      </c>
      <c r="AO16" s="1119"/>
      <c r="AP16" s="1119"/>
      <c r="AQ16" s="1119"/>
      <c r="AR16" s="1119"/>
      <c r="AS16" s="1119"/>
    </row>
    <row r="17" spans="1:45" s="144" customFormat="1" ht="224.25" customHeight="1" x14ac:dyDescent="0.3">
      <c r="A17" s="1119"/>
      <c r="B17" s="1119"/>
      <c r="C17" s="1119"/>
      <c r="D17" s="1120" t="s">
        <v>843</v>
      </c>
      <c r="E17" s="1120"/>
      <c r="F17" s="1120" t="s">
        <v>676</v>
      </c>
      <c r="G17" s="1120"/>
      <c r="H17" s="1120" t="s">
        <v>677</v>
      </c>
      <c r="I17" s="1120"/>
      <c r="J17" s="1120" t="s">
        <v>678</v>
      </c>
      <c r="K17" s="1120"/>
      <c r="L17" s="1120" t="s">
        <v>679</v>
      </c>
      <c r="M17" s="1120"/>
      <c r="N17" s="1120" t="s">
        <v>680</v>
      </c>
      <c r="O17" s="1120"/>
      <c r="P17" s="1120" t="s">
        <v>681</v>
      </c>
      <c r="Q17" s="1120"/>
      <c r="R17" s="1120" t="s">
        <v>682</v>
      </c>
      <c r="S17" s="1120"/>
      <c r="T17" s="1117" t="s">
        <v>0</v>
      </c>
      <c r="U17" s="1117"/>
      <c r="V17" s="1117" t="s">
        <v>60</v>
      </c>
      <c r="W17" s="1117"/>
      <c r="X17" s="1117" t="s">
        <v>60</v>
      </c>
      <c r="Y17" s="1117"/>
      <c r="Z17" s="1117" t="s">
        <v>0</v>
      </c>
      <c r="AA17" s="1117"/>
      <c r="AB17" s="1117" t="s">
        <v>60</v>
      </c>
      <c r="AC17" s="1117"/>
      <c r="AD17" s="1117" t="s">
        <v>60</v>
      </c>
      <c r="AE17" s="1117"/>
      <c r="AF17" s="1117" t="s">
        <v>0</v>
      </c>
      <c r="AG17" s="1117"/>
      <c r="AH17" s="1117" t="s">
        <v>60</v>
      </c>
      <c r="AI17" s="1117"/>
      <c r="AJ17" s="1117" t="s">
        <v>60</v>
      </c>
      <c r="AK17" s="1117"/>
      <c r="AL17" s="1117" t="s">
        <v>0</v>
      </c>
      <c r="AM17" s="1117"/>
      <c r="AN17" s="1117" t="s">
        <v>60</v>
      </c>
      <c r="AO17" s="1117"/>
      <c r="AP17" s="1117" t="s">
        <v>60</v>
      </c>
      <c r="AQ17" s="1117"/>
      <c r="AR17" s="1117" t="s">
        <v>0</v>
      </c>
      <c r="AS17" s="1117"/>
    </row>
    <row r="18" spans="1:45" ht="159" customHeight="1" x14ac:dyDescent="0.3">
      <c r="A18" s="1119"/>
      <c r="B18" s="1119"/>
      <c r="C18" s="1119"/>
      <c r="D18" s="145" t="s">
        <v>683</v>
      </c>
      <c r="E18" s="145" t="s">
        <v>163</v>
      </c>
      <c r="F18" s="145" t="s">
        <v>683</v>
      </c>
      <c r="G18" s="145" t="s">
        <v>163</v>
      </c>
      <c r="H18" s="145" t="s">
        <v>683</v>
      </c>
      <c r="I18" s="145" t="s">
        <v>163</v>
      </c>
      <c r="J18" s="145" t="s">
        <v>683</v>
      </c>
      <c r="K18" s="145" t="s">
        <v>163</v>
      </c>
      <c r="L18" s="145" t="s">
        <v>683</v>
      </c>
      <c r="M18" s="145" t="s">
        <v>163</v>
      </c>
      <c r="N18" s="161" t="s">
        <v>683</v>
      </c>
      <c r="O18" s="145" t="s">
        <v>933</v>
      </c>
      <c r="P18" s="145" t="s">
        <v>683</v>
      </c>
      <c r="Q18" s="145" t="s">
        <v>163</v>
      </c>
      <c r="R18" s="145" t="s">
        <v>683</v>
      </c>
      <c r="S18" s="145" t="s">
        <v>163</v>
      </c>
      <c r="T18" s="145" t="s">
        <v>683</v>
      </c>
      <c r="U18" s="145" t="s">
        <v>163</v>
      </c>
      <c r="V18" s="145" t="s">
        <v>683</v>
      </c>
      <c r="W18" s="145" t="s">
        <v>163</v>
      </c>
      <c r="X18" s="145" t="s">
        <v>683</v>
      </c>
      <c r="Y18" s="145" t="s">
        <v>163</v>
      </c>
      <c r="Z18" s="145" t="s">
        <v>683</v>
      </c>
      <c r="AA18" s="145" t="s">
        <v>163</v>
      </c>
      <c r="AB18" s="145" t="s">
        <v>683</v>
      </c>
      <c r="AC18" s="145" t="s">
        <v>163</v>
      </c>
      <c r="AD18" s="145" t="s">
        <v>683</v>
      </c>
      <c r="AE18" s="145" t="s">
        <v>163</v>
      </c>
      <c r="AF18" s="145" t="s">
        <v>683</v>
      </c>
      <c r="AG18" s="145" t="s">
        <v>163</v>
      </c>
      <c r="AH18" s="145" t="s">
        <v>683</v>
      </c>
      <c r="AI18" s="145" t="s">
        <v>163</v>
      </c>
      <c r="AJ18" s="145" t="s">
        <v>683</v>
      </c>
      <c r="AK18" s="145" t="s">
        <v>163</v>
      </c>
      <c r="AL18" s="145" t="s">
        <v>683</v>
      </c>
      <c r="AM18" s="145" t="s">
        <v>163</v>
      </c>
      <c r="AN18" s="145" t="s">
        <v>683</v>
      </c>
      <c r="AO18" s="145" t="s">
        <v>163</v>
      </c>
      <c r="AP18" s="145" t="s">
        <v>683</v>
      </c>
      <c r="AQ18" s="145" t="s">
        <v>163</v>
      </c>
      <c r="AR18" s="145" t="s">
        <v>683</v>
      </c>
      <c r="AS18" s="145" t="s">
        <v>163</v>
      </c>
    </row>
    <row r="19" spans="1:45" s="297" customFormat="1" x14ac:dyDescent="0.25">
      <c r="A19" s="146">
        <v>1</v>
      </c>
      <c r="B19" s="146">
        <v>2</v>
      </c>
      <c r="C19" s="146">
        <v>3</v>
      </c>
      <c r="D19" s="206" t="s">
        <v>107</v>
      </c>
      <c r="E19" s="206" t="s">
        <v>114</v>
      </c>
      <c r="F19" s="206" t="s">
        <v>115</v>
      </c>
      <c r="G19" s="206" t="s">
        <v>152</v>
      </c>
      <c r="H19" s="206" t="s">
        <v>173</v>
      </c>
      <c r="I19" s="206" t="s">
        <v>173</v>
      </c>
      <c r="J19" s="206" t="s">
        <v>100</v>
      </c>
      <c r="K19" s="206" t="s">
        <v>101</v>
      </c>
      <c r="L19" s="206" t="s">
        <v>116</v>
      </c>
      <c r="M19" s="206" t="s">
        <v>117</v>
      </c>
      <c r="N19" s="300" t="s">
        <v>523</v>
      </c>
      <c r="O19" s="206" t="s">
        <v>812</v>
      </c>
      <c r="P19" s="206" t="s">
        <v>103</v>
      </c>
      <c r="Q19" s="206" t="s">
        <v>104</v>
      </c>
      <c r="R19" s="206" t="s">
        <v>105</v>
      </c>
      <c r="S19" s="206" t="s">
        <v>106</v>
      </c>
      <c r="T19" s="206" t="s">
        <v>172</v>
      </c>
      <c r="U19" s="206" t="s">
        <v>172</v>
      </c>
      <c r="V19" s="206" t="s">
        <v>119</v>
      </c>
      <c r="W19" s="206" t="s">
        <v>120</v>
      </c>
      <c r="X19" s="206" t="s">
        <v>153</v>
      </c>
      <c r="Y19" s="206" t="s">
        <v>154</v>
      </c>
      <c r="Z19" s="206" t="s">
        <v>174</v>
      </c>
      <c r="AA19" s="206" t="s">
        <v>174</v>
      </c>
      <c r="AB19" s="206" t="s">
        <v>122</v>
      </c>
      <c r="AC19" s="206" t="s">
        <v>123</v>
      </c>
      <c r="AD19" s="206" t="s">
        <v>127</v>
      </c>
      <c r="AE19" s="206" t="s">
        <v>128</v>
      </c>
      <c r="AF19" s="206" t="s">
        <v>175</v>
      </c>
      <c r="AG19" s="206" t="s">
        <v>175</v>
      </c>
      <c r="AH19" s="206" t="s">
        <v>155</v>
      </c>
      <c r="AI19" s="206" t="s">
        <v>156</v>
      </c>
      <c r="AJ19" s="206" t="s">
        <v>157</v>
      </c>
      <c r="AK19" s="206" t="s">
        <v>158</v>
      </c>
      <c r="AL19" s="206" t="s">
        <v>176</v>
      </c>
      <c r="AM19" s="206" t="s">
        <v>176</v>
      </c>
      <c r="AN19" s="206" t="s">
        <v>159</v>
      </c>
      <c r="AO19" s="206" t="s">
        <v>160</v>
      </c>
      <c r="AP19" s="206" t="s">
        <v>161</v>
      </c>
      <c r="AQ19" s="206" t="s">
        <v>162</v>
      </c>
      <c r="AR19" s="206" t="s">
        <v>177</v>
      </c>
      <c r="AS19" s="206" t="s">
        <v>177</v>
      </c>
    </row>
    <row r="20" spans="1:45" s="424" customFormat="1" ht="78" customHeight="1" x14ac:dyDescent="0.25">
      <c r="A20" s="266" t="s">
        <v>711</v>
      </c>
      <c r="B20" s="267" t="s">
        <v>684</v>
      </c>
      <c r="C20" s="261" t="s">
        <v>621</v>
      </c>
      <c r="D20" s="261" t="s">
        <v>621</v>
      </c>
      <c r="E20" s="261" t="s">
        <v>621</v>
      </c>
      <c r="F20" s="261" t="s">
        <v>621</v>
      </c>
      <c r="G20" s="261" t="s">
        <v>621</v>
      </c>
      <c r="H20" s="261" t="str">
        <f>H29</f>
        <v>нд</v>
      </c>
      <c r="I20" s="261" t="s">
        <v>621</v>
      </c>
      <c r="J20" s="261">
        <v>1.6</v>
      </c>
      <c r="K20" s="261" t="str">
        <f>K33</f>
        <v>нд</v>
      </c>
      <c r="L20" s="261">
        <v>28</v>
      </c>
      <c r="M20" s="261" t="s">
        <v>621</v>
      </c>
      <c r="N20" s="254">
        <f>N22</f>
        <v>5.8760000000000003</v>
      </c>
      <c r="O20" s="261">
        <f>O22</f>
        <v>4.6820000000000004</v>
      </c>
      <c r="P20" s="261" t="s">
        <v>621</v>
      </c>
      <c r="Q20" s="261" t="s">
        <v>621</v>
      </c>
      <c r="R20" s="261" t="s">
        <v>621</v>
      </c>
      <c r="S20" s="261" t="s">
        <v>621</v>
      </c>
      <c r="T20" s="261" t="s">
        <v>621</v>
      </c>
      <c r="U20" s="261" t="s">
        <v>621</v>
      </c>
      <c r="V20" s="261" t="s">
        <v>621</v>
      </c>
      <c r="W20" s="261" t="s">
        <v>621</v>
      </c>
      <c r="X20" s="261" t="s">
        <v>621</v>
      </c>
      <c r="Y20" s="261" t="s">
        <v>621</v>
      </c>
      <c r="Z20" s="261" t="s">
        <v>621</v>
      </c>
      <c r="AA20" s="261">
        <v>2</v>
      </c>
      <c r="AB20" s="261" t="s">
        <v>621</v>
      </c>
      <c r="AC20" s="261" t="s">
        <v>621</v>
      </c>
      <c r="AD20" s="261" t="s">
        <v>621</v>
      </c>
      <c r="AE20" s="261" t="s">
        <v>621</v>
      </c>
      <c r="AF20" s="261" t="s">
        <v>621</v>
      </c>
      <c r="AG20" s="261" t="s">
        <v>621</v>
      </c>
      <c r="AH20" s="261" t="s">
        <v>621</v>
      </c>
      <c r="AI20" s="261" t="s">
        <v>621</v>
      </c>
      <c r="AJ20" s="261" t="s">
        <v>621</v>
      </c>
      <c r="AK20" s="261" t="s">
        <v>621</v>
      </c>
      <c r="AL20" s="261" t="s">
        <v>621</v>
      </c>
      <c r="AM20" s="261" t="s">
        <v>621</v>
      </c>
      <c r="AN20" s="261" t="s">
        <v>621</v>
      </c>
      <c r="AO20" s="261" t="s">
        <v>621</v>
      </c>
      <c r="AP20" s="261" t="s">
        <v>621</v>
      </c>
      <c r="AQ20" s="261" t="s">
        <v>621</v>
      </c>
      <c r="AR20" s="261" t="s">
        <v>621</v>
      </c>
      <c r="AS20" s="261" t="s">
        <v>621</v>
      </c>
    </row>
    <row r="21" spans="1:45" s="347" customFormat="1" ht="60" hidden="1" x14ac:dyDescent="0.25">
      <c r="A21" s="268" t="s">
        <v>712</v>
      </c>
      <c r="B21" s="425" t="s">
        <v>685</v>
      </c>
      <c r="C21" s="262" t="s">
        <v>621</v>
      </c>
      <c r="D21" s="262" t="s">
        <v>621</v>
      </c>
      <c r="E21" s="262" t="s">
        <v>621</v>
      </c>
      <c r="F21" s="262" t="s">
        <v>621</v>
      </c>
      <c r="G21" s="262" t="s">
        <v>621</v>
      </c>
      <c r="H21" s="262" t="s">
        <v>621</v>
      </c>
      <c r="I21" s="262" t="s">
        <v>621</v>
      </c>
      <c r="J21" s="262" t="s">
        <v>621</v>
      </c>
      <c r="K21" s="262" t="s">
        <v>621</v>
      </c>
      <c r="L21" s="262">
        <v>28</v>
      </c>
      <c r="M21" s="262" t="s">
        <v>621</v>
      </c>
      <c r="N21" s="256" t="s">
        <v>621</v>
      </c>
      <c r="O21" s="262" t="s">
        <v>621</v>
      </c>
      <c r="P21" s="262" t="s">
        <v>621</v>
      </c>
      <c r="Q21" s="262" t="s">
        <v>621</v>
      </c>
      <c r="R21" s="262" t="s">
        <v>621</v>
      </c>
      <c r="S21" s="262" t="s">
        <v>621</v>
      </c>
      <c r="T21" s="262" t="s">
        <v>621</v>
      </c>
      <c r="U21" s="262" t="s">
        <v>621</v>
      </c>
      <c r="V21" s="262" t="s">
        <v>621</v>
      </c>
      <c r="W21" s="262" t="s">
        <v>621</v>
      </c>
      <c r="X21" s="262" t="s">
        <v>621</v>
      </c>
      <c r="Y21" s="262" t="s">
        <v>621</v>
      </c>
      <c r="Z21" s="262" t="s">
        <v>621</v>
      </c>
      <c r="AA21" s="262" t="s">
        <v>621</v>
      </c>
      <c r="AB21" s="262" t="s">
        <v>621</v>
      </c>
      <c r="AC21" s="262" t="s">
        <v>621</v>
      </c>
      <c r="AD21" s="262" t="s">
        <v>621</v>
      </c>
      <c r="AE21" s="262" t="s">
        <v>621</v>
      </c>
      <c r="AF21" s="262" t="s">
        <v>621</v>
      </c>
      <c r="AG21" s="262" t="s">
        <v>621</v>
      </c>
      <c r="AH21" s="262" t="s">
        <v>621</v>
      </c>
      <c r="AI21" s="262" t="s">
        <v>621</v>
      </c>
      <c r="AJ21" s="262" t="s">
        <v>621</v>
      </c>
      <c r="AK21" s="262" t="s">
        <v>621</v>
      </c>
      <c r="AL21" s="262" t="s">
        <v>621</v>
      </c>
      <c r="AM21" s="262" t="s">
        <v>621</v>
      </c>
      <c r="AN21" s="262" t="s">
        <v>621</v>
      </c>
      <c r="AO21" s="262" t="s">
        <v>621</v>
      </c>
      <c r="AP21" s="262" t="s">
        <v>621</v>
      </c>
      <c r="AQ21" s="262" t="s">
        <v>621</v>
      </c>
      <c r="AR21" s="262" t="s">
        <v>621</v>
      </c>
      <c r="AS21" s="262" t="s">
        <v>621</v>
      </c>
    </row>
    <row r="22" spans="1:45" s="347" customFormat="1" ht="91.5" customHeight="1" x14ac:dyDescent="0.25">
      <c r="A22" s="268" t="s">
        <v>713</v>
      </c>
      <c r="B22" s="425" t="s">
        <v>686</v>
      </c>
      <c r="C22" s="262" t="s">
        <v>621</v>
      </c>
      <c r="D22" s="262" t="s">
        <v>621</v>
      </c>
      <c r="E22" s="262" t="s">
        <v>621</v>
      </c>
      <c r="F22" s="262" t="s">
        <v>621</v>
      </c>
      <c r="G22" s="262" t="s">
        <v>621</v>
      </c>
      <c r="H22" s="262" t="s">
        <v>621</v>
      </c>
      <c r="I22" s="262" t="s">
        <v>621</v>
      </c>
      <c r="J22" s="262">
        <v>1.6</v>
      </c>
      <c r="K22" s="262" t="s">
        <v>621</v>
      </c>
      <c r="L22" s="262">
        <v>28</v>
      </c>
      <c r="M22" s="262" t="s">
        <v>621</v>
      </c>
      <c r="N22" s="256">
        <f>N28</f>
        <v>5.8760000000000003</v>
      </c>
      <c r="O22" s="262">
        <f>O28</f>
        <v>4.6820000000000004</v>
      </c>
      <c r="P22" s="262" t="s">
        <v>621</v>
      </c>
      <c r="Q22" s="262" t="s">
        <v>621</v>
      </c>
      <c r="R22" s="262" t="s">
        <v>621</v>
      </c>
      <c r="S22" s="262" t="s">
        <v>621</v>
      </c>
      <c r="T22" s="262" t="s">
        <v>621</v>
      </c>
      <c r="U22" s="262" t="s">
        <v>621</v>
      </c>
      <c r="V22" s="262" t="s">
        <v>621</v>
      </c>
      <c r="W22" s="262" t="s">
        <v>621</v>
      </c>
      <c r="X22" s="262" t="s">
        <v>621</v>
      </c>
      <c r="Y22" s="262" t="s">
        <v>621</v>
      </c>
      <c r="Z22" s="262" t="s">
        <v>621</v>
      </c>
      <c r="AA22" s="262">
        <v>2</v>
      </c>
      <c r="AB22" s="262" t="s">
        <v>621</v>
      </c>
      <c r="AC22" s="262" t="s">
        <v>621</v>
      </c>
      <c r="AD22" s="262" t="s">
        <v>621</v>
      </c>
      <c r="AE22" s="262" t="s">
        <v>621</v>
      </c>
      <c r="AF22" s="262" t="s">
        <v>621</v>
      </c>
      <c r="AG22" s="262" t="s">
        <v>621</v>
      </c>
      <c r="AH22" s="262" t="s">
        <v>621</v>
      </c>
      <c r="AI22" s="262" t="s">
        <v>621</v>
      </c>
      <c r="AJ22" s="262" t="s">
        <v>621</v>
      </c>
      <c r="AK22" s="262" t="s">
        <v>621</v>
      </c>
      <c r="AL22" s="262" t="s">
        <v>621</v>
      </c>
      <c r="AM22" s="262" t="s">
        <v>621</v>
      </c>
      <c r="AN22" s="262" t="s">
        <v>621</v>
      </c>
      <c r="AO22" s="262" t="s">
        <v>621</v>
      </c>
      <c r="AP22" s="262" t="s">
        <v>621</v>
      </c>
      <c r="AQ22" s="262" t="s">
        <v>621</v>
      </c>
      <c r="AR22" s="262" t="s">
        <v>621</v>
      </c>
      <c r="AS22" s="262" t="s">
        <v>621</v>
      </c>
    </row>
    <row r="23" spans="1:45" s="347" customFormat="1" ht="180" hidden="1" x14ac:dyDescent="0.25">
      <c r="A23" s="268" t="s">
        <v>714</v>
      </c>
      <c r="B23" s="425" t="s">
        <v>687</v>
      </c>
      <c r="C23" s="262" t="s">
        <v>621</v>
      </c>
      <c r="D23" s="262" t="s">
        <v>621</v>
      </c>
      <c r="E23" s="262" t="s">
        <v>621</v>
      </c>
      <c r="F23" s="262" t="s">
        <v>621</v>
      </c>
      <c r="G23" s="262" t="s">
        <v>621</v>
      </c>
      <c r="H23" s="262" t="s">
        <v>621</v>
      </c>
      <c r="I23" s="262" t="s">
        <v>621</v>
      </c>
      <c r="J23" s="262" t="s">
        <v>621</v>
      </c>
      <c r="K23" s="262" t="s">
        <v>621</v>
      </c>
      <c r="L23" s="262" t="s">
        <v>621</v>
      </c>
      <c r="M23" s="262" t="s">
        <v>621</v>
      </c>
      <c r="N23" s="262" t="s">
        <v>621</v>
      </c>
      <c r="O23" s="262" t="s">
        <v>621</v>
      </c>
      <c r="P23" s="262" t="s">
        <v>621</v>
      </c>
      <c r="Q23" s="262" t="s">
        <v>621</v>
      </c>
      <c r="R23" s="262" t="s">
        <v>621</v>
      </c>
      <c r="S23" s="262" t="s">
        <v>621</v>
      </c>
      <c r="T23" s="262" t="s">
        <v>621</v>
      </c>
      <c r="U23" s="262" t="s">
        <v>621</v>
      </c>
      <c r="V23" s="262" t="s">
        <v>621</v>
      </c>
      <c r="W23" s="262" t="s">
        <v>621</v>
      </c>
      <c r="X23" s="262" t="s">
        <v>621</v>
      </c>
      <c r="Y23" s="262" t="s">
        <v>621</v>
      </c>
      <c r="Z23" s="262" t="s">
        <v>621</v>
      </c>
      <c r="AA23" s="262" t="s">
        <v>621</v>
      </c>
      <c r="AB23" s="262" t="s">
        <v>621</v>
      </c>
      <c r="AC23" s="262" t="s">
        <v>621</v>
      </c>
      <c r="AD23" s="262" t="s">
        <v>621</v>
      </c>
      <c r="AE23" s="262" t="s">
        <v>621</v>
      </c>
      <c r="AF23" s="262" t="s">
        <v>621</v>
      </c>
      <c r="AG23" s="262" t="s">
        <v>621</v>
      </c>
      <c r="AH23" s="262" t="s">
        <v>621</v>
      </c>
      <c r="AI23" s="262" t="s">
        <v>621</v>
      </c>
      <c r="AJ23" s="262" t="s">
        <v>621</v>
      </c>
      <c r="AK23" s="262" t="s">
        <v>621</v>
      </c>
      <c r="AL23" s="262" t="s">
        <v>621</v>
      </c>
      <c r="AM23" s="262" t="s">
        <v>621</v>
      </c>
      <c r="AN23" s="262" t="s">
        <v>621</v>
      </c>
      <c r="AO23" s="262" t="s">
        <v>621</v>
      </c>
      <c r="AP23" s="262" t="s">
        <v>621</v>
      </c>
      <c r="AQ23" s="262" t="s">
        <v>621</v>
      </c>
      <c r="AR23" s="262" t="s">
        <v>621</v>
      </c>
      <c r="AS23" s="262" t="s">
        <v>621</v>
      </c>
    </row>
    <row r="24" spans="1:45" s="347" customFormat="1" ht="90" hidden="1" x14ac:dyDescent="0.25">
      <c r="A24" s="268" t="s">
        <v>715</v>
      </c>
      <c r="B24" s="425" t="s">
        <v>688</v>
      </c>
      <c r="C24" s="262" t="s">
        <v>621</v>
      </c>
      <c r="D24" s="262" t="s">
        <v>621</v>
      </c>
      <c r="E24" s="262" t="s">
        <v>621</v>
      </c>
      <c r="F24" s="262" t="s">
        <v>621</v>
      </c>
      <c r="G24" s="262" t="s">
        <v>621</v>
      </c>
      <c r="H24" s="262" t="s">
        <v>621</v>
      </c>
      <c r="I24" s="262" t="s">
        <v>621</v>
      </c>
      <c r="J24" s="262" t="s">
        <v>621</v>
      </c>
      <c r="K24" s="262" t="s">
        <v>621</v>
      </c>
      <c r="L24" s="262" t="s">
        <v>621</v>
      </c>
      <c r="M24" s="262" t="s">
        <v>621</v>
      </c>
      <c r="N24" s="256" t="s">
        <v>621</v>
      </c>
      <c r="O24" s="262" t="s">
        <v>621</v>
      </c>
      <c r="P24" s="262" t="s">
        <v>621</v>
      </c>
      <c r="Q24" s="262" t="s">
        <v>621</v>
      </c>
      <c r="R24" s="262" t="s">
        <v>621</v>
      </c>
      <c r="S24" s="262" t="s">
        <v>621</v>
      </c>
      <c r="T24" s="262" t="s">
        <v>621</v>
      </c>
      <c r="U24" s="262" t="s">
        <v>621</v>
      </c>
      <c r="V24" s="262" t="s">
        <v>621</v>
      </c>
      <c r="W24" s="262" t="s">
        <v>621</v>
      </c>
      <c r="X24" s="262" t="s">
        <v>621</v>
      </c>
      <c r="Y24" s="262" t="s">
        <v>621</v>
      </c>
      <c r="Z24" s="262" t="s">
        <v>621</v>
      </c>
      <c r="AA24" s="262" t="s">
        <v>621</v>
      </c>
      <c r="AB24" s="262" t="s">
        <v>621</v>
      </c>
      <c r="AC24" s="262" t="s">
        <v>621</v>
      </c>
      <c r="AD24" s="262" t="s">
        <v>621</v>
      </c>
      <c r="AE24" s="262" t="s">
        <v>621</v>
      </c>
      <c r="AF24" s="262" t="s">
        <v>621</v>
      </c>
      <c r="AG24" s="262" t="s">
        <v>621</v>
      </c>
      <c r="AH24" s="262" t="s">
        <v>621</v>
      </c>
      <c r="AI24" s="262" t="s">
        <v>621</v>
      </c>
      <c r="AJ24" s="262" t="s">
        <v>621</v>
      </c>
      <c r="AK24" s="262" t="s">
        <v>621</v>
      </c>
      <c r="AL24" s="262" t="s">
        <v>621</v>
      </c>
      <c r="AM24" s="262" t="s">
        <v>621</v>
      </c>
      <c r="AN24" s="262" t="s">
        <v>621</v>
      </c>
      <c r="AO24" s="262" t="s">
        <v>621</v>
      </c>
      <c r="AP24" s="262" t="s">
        <v>621</v>
      </c>
      <c r="AQ24" s="262" t="s">
        <v>621</v>
      </c>
      <c r="AR24" s="262" t="s">
        <v>621</v>
      </c>
      <c r="AS24" s="262" t="s">
        <v>621</v>
      </c>
    </row>
    <row r="25" spans="1:45" s="347" customFormat="1" ht="150" hidden="1" x14ac:dyDescent="0.25">
      <c r="A25" s="268" t="s">
        <v>716</v>
      </c>
      <c r="B25" s="425" t="s">
        <v>689</v>
      </c>
      <c r="C25" s="262" t="s">
        <v>621</v>
      </c>
      <c r="D25" s="262" t="s">
        <v>621</v>
      </c>
      <c r="E25" s="262" t="s">
        <v>621</v>
      </c>
      <c r="F25" s="262" t="s">
        <v>621</v>
      </c>
      <c r="G25" s="262" t="s">
        <v>621</v>
      </c>
      <c r="H25" s="262" t="s">
        <v>621</v>
      </c>
      <c r="I25" s="262" t="s">
        <v>621</v>
      </c>
      <c r="J25" s="262" t="s">
        <v>621</v>
      </c>
      <c r="K25" s="262" t="s">
        <v>621</v>
      </c>
      <c r="L25" s="262" t="s">
        <v>621</v>
      </c>
      <c r="M25" s="262" t="s">
        <v>621</v>
      </c>
      <c r="N25" s="256" t="s">
        <v>621</v>
      </c>
      <c r="O25" s="262" t="s">
        <v>621</v>
      </c>
      <c r="P25" s="262" t="s">
        <v>621</v>
      </c>
      <c r="Q25" s="262" t="s">
        <v>621</v>
      </c>
      <c r="R25" s="262" t="s">
        <v>621</v>
      </c>
      <c r="S25" s="262" t="s">
        <v>621</v>
      </c>
      <c r="T25" s="262" t="s">
        <v>621</v>
      </c>
      <c r="U25" s="262" t="s">
        <v>621</v>
      </c>
      <c r="V25" s="262" t="s">
        <v>621</v>
      </c>
      <c r="W25" s="262" t="s">
        <v>621</v>
      </c>
      <c r="X25" s="262" t="s">
        <v>621</v>
      </c>
      <c r="Y25" s="262" t="s">
        <v>621</v>
      </c>
      <c r="Z25" s="262" t="s">
        <v>621</v>
      </c>
      <c r="AA25" s="262" t="s">
        <v>621</v>
      </c>
      <c r="AB25" s="262" t="s">
        <v>621</v>
      </c>
      <c r="AC25" s="262" t="s">
        <v>621</v>
      </c>
      <c r="AD25" s="262" t="s">
        <v>621</v>
      </c>
      <c r="AE25" s="262" t="s">
        <v>621</v>
      </c>
      <c r="AF25" s="262" t="s">
        <v>621</v>
      </c>
      <c r="AG25" s="262" t="s">
        <v>621</v>
      </c>
      <c r="AH25" s="262" t="s">
        <v>621</v>
      </c>
      <c r="AI25" s="262" t="s">
        <v>621</v>
      </c>
      <c r="AJ25" s="262" t="s">
        <v>621</v>
      </c>
      <c r="AK25" s="262" t="s">
        <v>621</v>
      </c>
      <c r="AL25" s="262" t="s">
        <v>621</v>
      </c>
      <c r="AM25" s="262" t="s">
        <v>621</v>
      </c>
      <c r="AN25" s="262" t="s">
        <v>621</v>
      </c>
      <c r="AO25" s="262" t="s">
        <v>621</v>
      </c>
      <c r="AP25" s="262" t="s">
        <v>621</v>
      </c>
      <c r="AQ25" s="262" t="s">
        <v>621</v>
      </c>
      <c r="AR25" s="262" t="s">
        <v>621</v>
      </c>
      <c r="AS25" s="262" t="s">
        <v>621</v>
      </c>
    </row>
    <row r="26" spans="1:45" s="347" customFormat="1" ht="60" hidden="1" x14ac:dyDescent="0.25">
      <c r="A26" s="268" t="s">
        <v>717</v>
      </c>
      <c r="B26" s="425" t="s">
        <v>690</v>
      </c>
      <c r="C26" s="262" t="s">
        <v>621</v>
      </c>
      <c r="D26" s="262" t="s">
        <v>621</v>
      </c>
      <c r="E26" s="262" t="s">
        <v>621</v>
      </c>
      <c r="F26" s="262" t="s">
        <v>621</v>
      </c>
      <c r="G26" s="262" t="s">
        <v>621</v>
      </c>
      <c r="H26" s="262" t="s">
        <v>621</v>
      </c>
      <c r="I26" s="262" t="s">
        <v>621</v>
      </c>
      <c r="J26" s="262" t="s">
        <v>621</v>
      </c>
      <c r="K26" s="262" t="s">
        <v>621</v>
      </c>
      <c r="L26" s="262" t="s">
        <v>621</v>
      </c>
      <c r="M26" s="262" t="s">
        <v>621</v>
      </c>
      <c r="N26" s="256" t="s">
        <v>621</v>
      </c>
      <c r="O26" s="262" t="s">
        <v>621</v>
      </c>
      <c r="P26" s="262" t="s">
        <v>621</v>
      </c>
      <c r="Q26" s="262" t="s">
        <v>621</v>
      </c>
      <c r="R26" s="262" t="s">
        <v>621</v>
      </c>
      <c r="S26" s="262" t="s">
        <v>621</v>
      </c>
      <c r="T26" s="262" t="s">
        <v>621</v>
      </c>
      <c r="U26" s="262" t="s">
        <v>621</v>
      </c>
      <c r="V26" s="262" t="s">
        <v>621</v>
      </c>
      <c r="W26" s="262" t="s">
        <v>621</v>
      </c>
      <c r="X26" s="262" t="s">
        <v>621</v>
      </c>
      <c r="Y26" s="262" t="s">
        <v>621</v>
      </c>
      <c r="Z26" s="262" t="s">
        <v>621</v>
      </c>
      <c r="AA26" s="262" t="s">
        <v>621</v>
      </c>
      <c r="AB26" s="262" t="s">
        <v>621</v>
      </c>
      <c r="AC26" s="262" t="s">
        <v>621</v>
      </c>
      <c r="AD26" s="262" t="s">
        <v>621</v>
      </c>
      <c r="AE26" s="262" t="s">
        <v>621</v>
      </c>
      <c r="AF26" s="262" t="s">
        <v>621</v>
      </c>
      <c r="AG26" s="262" t="s">
        <v>621</v>
      </c>
      <c r="AH26" s="262" t="s">
        <v>621</v>
      </c>
      <c r="AI26" s="262" t="s">
        <v>621</v>
      </c>
      <c r="AJ26" s="262" t="s">
        <v>621</v>
      </c>
      <c r="AK26" s="262" t="s">
        <v>621</v>
      </c>
      <c r="AL26" s="262" t="s">
        <v>621</v>
      </c>
      <c r="AM26" s="262" t="s">
        <v>621</v>
      </c>
      <c r="AN26" s="262" t="s">
        <v>621</v>
      </c>
      <c r="AO26" s="262" t="s">
        <v>621</v>
      </c>
      <c r="AP26" s="262" t="s">
        <v>621</v>
      </c>
      <c r="AQ26" s="262" t="s">
        <v>621</v>
      </c>
      <c r="AR26" s="262" t="s">
        <v>621</v>
      </c>
      <c r="AS26" s="262" t="s">
        <v>621</v>
      </c>
    </row>
    <row r="27" spans="1:45" s="347" customFormat="1" ht="30.75" hidden="1" x14ac:dyDescent="0.25">
      <c r="A27" s="316"/>
      <c r="B27" s="426"/>
      <c r="C27" s="262" t="s">
        <v>621</v>
      </c>
      <c r="D27" s="262" t="s">
        <v>621</v>
      </c>
      <c r="E27" s="262" t="s">
        <v>621</v>
      </c>
      <c r="F27" s="262" t="s">
        <v>621</v>
      </c>
      <c r="G27" s="262" t="s">
        <v>621</v>
      </c>
      <c r="H27" s="262" t="s">
        <v>621</v>
      </c>
      <c r="I27" s="262" t="s">
        <v>621</v>
      </c>
      <c r="J27" s="262" t="s">
        <v>621</v>
      </c>
      <c r="K27" s="262" t="s">
        <v>621</v>
      </c>
      <c r="L27" s="262" t="s">
        <v>621</v>
      </c>
      <c r="M27" s="262" t="s">
        <v>621</v>
      </c>
      <c r="N27" s="262" t="s">
        <v>621</v>
      </c>
      <c r="O27" s="262" t="s">
        <v>621</v>
      </c>
      <c r="P27" s="262" t="s">
        <v>621</v>
      </c>
      <c r="Q27" s="262" t="s">
        <v>621</v>
      </c>
      <c r="R27" s="262" t="s">
        <v>621</v>
      </c>
      <c r="S27" s="262" t="s">
        <v>621</v>
      </c>
      <c r="T27" s="262" t="s">
        <v>621</v>
      </c>
      <c r="U27" s="262" t="s">
        <v>621</v>
      </c>
      <c r="V27" s="262" t="s">
        <v>621</v>
      </c>
      <c r="W27" s="262" t="s">
        <v>621</v>
      </c>
      <c r="X27" s="262" t="s">
        <v>621</v>
      </c>
      <c r="Y27" s="262" t="s">
        <v>621</v>
      </c>
      <c r="Z27" s="262" t="s">
        <v>621</v>
      </c>
      <c r="AA27" s="262" t="s">
        <v>621</v>
      </c>
      <c r="AB27" s="262" t="s">
        <v>621</v>
      </c>
      <c r="AC27" s="262" t="s">
        <v>621</v>
      </c>
      <c r="AD27" s="262" t="s">
        <v>621</v>
      </c>
      <c r="AE27" s="262" t="s">
        <v>621</v>
      </c>
      <c r="AF27" s="262" t="s">
        <v>621</v>
      </c>
      <c r="AG27" s="262" t="s">
        <v>621</v>
      </c>
      <c r="AH27" s="262" t="s">
        <v>621</v>
      </c>
      <c r="AI27" s="262" t="s">
        <v>621</v>
      </c>
      <c r="AJ27" s="262" t="s">
        <v>621</v>
      </c>
      <c r="AK27" s="262" t="s">
        <v>621</v>
      </c>
      <c r="AL27" s="262" t="s">
        <v>621</v>
      </c>
      <c r="AM27" s="262" t="s">
        <v>621</v>
      </c>
      <c r="AN27" s="262" t="s">
        <v>621</v>
      </c>
      <c r="AO27" s="262" t="s">
        <v>621</v>
      </c>
      <c r="AP27" s="262" t="s">
        <v>621</v>
      </c>
      <c r="AQ27" s="262" t="s">
        <v>621</v>
      </c>
      <c r="AR27" s="262" t="s">
        <v>621</v>
      </c>
      <c r="AS27" s="262" t="s">
        <v>621</v>
      </c>
    </row>
    <row r="28" spans="1:45" s="347" customFormat="1" ht="28.5" customHeight="1" x14ac:dyDescent="0.25">
      <c r="A28" s="316" t="s">
        <v>537</v>
      </c>
      <c r="B28" s="426" t="s">
        <v>691</v>
      </c>
      <c r="C28" s="262" t="s">
        <v>621</v>
      </c>
      <c r="D28" s="262" t="s">
        <v>621</v>
      </c>
      <c r="E28" s="262" t="s">
        <v>621</v>
      </c>
      <c r="F28" s="262" t="s">
        <v>621</v>
      </c>
      <c r="G28" s="262" t="s">
        <v>621</v>
      </c>
      <c r="H28" s="262" t="s">
        <v>621</v>
      </c>
      <c r="I28" s="262" t="s">
        <v>621</v>
      </c>
      <c r="J28" s="262">
        <v>1.6</v>
      </c>
      <c r="K28" s="262" t="s">
        <v>621</v>
      </c>
      <c r="L28" s="262">
        <v>28</v>
      </c>
      <c r="M28" s="262" t="s">
        <v>621</v>
      </c>
      <c r="N28" s="256">
        <f>N45</f>
        <v>5.8760000000000003</v>
      </c>
      <c r="O28" s="256">
        <f>O45</f>
        <v>4.6820000000000004</v>
      </c>
      <c r="P28" s="262" t="s">
        <v>621</v>
      </c>
      <c r="Q28" s="262" t="s">
        <v>621</v>
      </c>
      <c r="R28" s="262" t="s">
        <v>621</v>
      </c>
      <c r="S28" s="262" t="s">
        <v>621</v>
      </c>
      <c r="T28" s="262" t="s">
        <v>621</v>
      </c>
      <c r="U28" s="262" t="s">
        <v>621</v>
      </c>
      <c r="V28" s="262" t="s">
        <v>621</v>
      </c>
      <c r="W28" s="262" t="s">
        <v>621</v>
      </c>
      <c r="X28" s="262" t="s">
        <v>621</v>
      </c>
      <c r="Y28" s="262" t="s">
        <v>621</v>
      </c>
      <c r="Z28" s="262" t="s">
        <v>621</v>
      </c>
      <c r="AA28" s="262">
        <v>2</v>
      </c>
      <c r="AB28" s="262" t="s">
        <v>621</v>
      </c>
      <c r="AC28" s="262" t="s">
        <v>621</v>
      </c>
      <c r="AD28" s="262" t="s">
        <v>621</v>
      </c>
      <c r="AE28" s="262" t="s">
        <v>621</v>
      </c>
      <c r="AF28" s="262" t="s">
        <v>621</v>
      </c>
      <c r="AG28" s="262" t="s">
        <v>621</v>
      </c>
      <c r="AH28" s="262" t="s">
        <v>621</v>
      </c>
      <c r="AI28" s="262" t="s">
        <v>621</v>
      </c>
      <c r="AJ28" s="262" t="s">
        <v>621</v>
      </c>
      <c r="AK28" s="262" t="s">
        <v>621</v>
      </c>
      <c r="AL28" s="262" t="s">
        <v>621</v>
      </c>
      <c r="AM28" s="262" t="s">
        <v>621</v>
      </c>
      <c r="AN28" s="262" t="s">
        <v>621</v>
      </c>
      <c r="AO28" s="262" t="s">
        <v>621</v>
      </c>
      <c r="AP28" s="262" t="s">
        <v>621</v>
      </c>
      <c r="AQ28" s="262" t="s">
        <v>621</v>
      </c>
      <c r="AR28" s="262" t="s">
        <v>621</v>
      </c>
      <c r="AS28" s="262" t="s">
        <v>621</v>
      </c>
    </row>
    <row r="29" spans="1:45" s="347" customFormat="1" ht="90" hidden="1" x14ac:dyDescent="0.25">
      <c r="A29" s="268" t="s">
        <v>538</v>
      </c>
      <c r="B29" s="425" t="s">
        <v>692</v>
      </c>
      <c r="C29" s="262" t="s">
        <v>621</v>
      </c>
      <c r="D29" s="262" t="s">
        <v>621</v>
      </c>
      <c r="E29" s="262" t="s">
        <v>621</v>
      </c>
      <c r="F29" s="262" t="s">
        <v>621</v>
      </c>
      <c r="G29" s="262" t="s">
        <v>621</v>
      </c>
      <c r="H29" s="262" t="s">
        <v>621</v>
      </c>
      <c r="I29" s="262" t="s">
        <v>621</v>
      </c>
      <c r="J29" s="262" t="s">
        <v>621</v>
      </c>
      <c r="K29" s="262" t="s">
        <v>621</v>
      </c>
      <c r="L29" s="262" t="s">
        <v>621</v>
      </c>
      <c r="M29" s="262" t="s">
        <v>621</v>
      </c>
      <c r="N29" s="262" t="s">
        <v>621</v>
      </c>
      <c r="O29" s="262" t="s">
        <v>621</v>
      </c>
      <c r="P29" s="262" t="s">
        <v>621</v>
      </c>
      <c r="Q29" s="262" t="s">
        <v>621</v>
      </c>
      <c r="R29" s="262" t="s">
        <v>621</v>
      </c>
      <c r="S29" s="262" t="s">
        <v>621</v>
      </c>
      <c r="T29" s="262" t="s">
        <v>621</v>
      </c>
      <c r="U29" s="262" t="s">
        <v>621</v>
      </c>
      <c r="V29" s="262" t="s">
        <v>621</v>
      </c>
      <c r="W29" s="262" t="s">
        <v>621</v>
      </c>
      <c r="X29" s="262" t="s">
        <v>621</v>
      </c>
      <c r="Y29" s="262" t="s">
        <v>621</v>
      </c>
      <c r="Z29" s="262" t="s">
        <v>621</v>
      </c>
      <c r="AA29" s="262" t="s">
        <v>621</v>
      </c>
      <c r="AB29" s="262" t="s">
        <v>621</v>
      </c>
      <c r="AC29" s="262" t="s">
        <v>621</v>
      </c>
      <c r="AD29" s="262" t="s">
        <v>621</v>
      </c>
      <c r="AE29" s="262" t="s">
        <v>621</v>
      </c>
      <c r="AF29" s="262" t="s">
        <v>621</v>
      </c>
      <c r="AG29" s="262" t="s">
        <v>621</v>
      </c>
      <c r="AH29" s="262" t="s">
        <v>621</v>
      </c>
      <c r="AI29" s="262" t="s">
        <v>621</v>
      </c>
      <c r="AJ29" s="262" t="s">
        <v>621</v>
      </c>
      <c r="AK29" s="262" t="s">
        <v>621</v>
      </c>
      <c r="AL29" s="262" t="s">
        <v>621</v>
      </c>
      <c r="AM29" s="262" t="s">
        <v>621</v>
      </c>
      <c r="AN29" s="262" t="s">
        <v>621</v>
      </c>
      <c r="AO29" s="262" t="s">
        <v>621</v>
      </c>
      <c r="AP29" s="262" t="s">
        <v>621</v>
      </c>
      <c r="AQ29" s="262" t="s">
        <v>621</v>
      </c>
      <c r="AR29" s="262" t="s">
        <v>621</v>
      </c>
      <c r="AS29" s="262" t="s">
        <v>621</v>
      </c>
    </row>
    <row r="30" spans="1:45" s="347" customFormat="1" ht="153.75" hidden="1" x14ac:dyDescent="0.25">
      <c r="A30" s="316" t="s">
        <v>540</v>
      </c>
      <c r="B30" s="426" t="s">
        <v>725</v>
      </c>
      <c r="C30" s="262" t="s">
        <v>621</v>
      </c>
      <c r="D30" s="262" t="s">
        <v>621</v>
      </c>
      <c r="E30" s="262" t="s">
        <v>621</v>
      </c>
      <c r="F30" s="262" t="s">
        <v>621</v>
      </c>
      <c r="G30" s="262" t="s">
        <v>621</v>
      </c>
      <c r="H30" s="262" t="s">
        <v>621</v>
      </c>
      <c r="I30" s="262" t="s">
        <v>621</v>
      </c>
      <c r="J30" s="262" t="s">
        <v>621</v>
      </c>
      <c r="K30" s="262" t="s">
        <v>621</v>
      </c>
      <c r="L30" s="262" t="s">
        <v>621</v>
      </c>
      <c r="M30" s="262" t="s">
        <v>621</v>
      </c>
      <c r="N30" s="262" t="s">
        <v>621</v>
      </c>
      <c r="O30" s="262" t="s">
        <v>621</v>
      </c>
      <c r="P30" s="262" t="s">
        <v>621</v>
      </c>
      <c r="Q30" s="262" t="s">
        <v>621</v>
      </c>
      <c r="R30" s="262" t="s">
        <v>621</v>
      </c>
      <c r="S30" s="262" t="s">
        <v>621</v>
      </c>
      <c r="T30" s="262" t="s">
        <v>621</v>
      </c>
      <c r="U30" s="262" t="s">
        <v>621</v>
      </c>
      <c r="V30" s="262" t="s">
        <v>621</v>
      </c>
      <c r="W30" s="262" t="s">
        <v>621</v>
      </c>
      <c r="X30" s="262" t="s">
        <v>621</v>
      </c>
      <c r="Y30" s="262" t="s">
        <v>621</v>
      </c>
      <c r="Z30" s="262" t="s">
        <v>621</v>
      </c>
      <c r="AA30" s="262" t="s">
        <v>621</v>
      </c>
      <c r="AB30" s="262" t="s">
        <v>621</v>
      </c>
      <c r="AC30" s="262" t="s">
        <v>621</v>
      </c>
      <c r="AD30" s="262" t="s">
        <v>621</v>
      </c>
      <c r="AE30" s="262" t="s">
        <v>621</v>
      </c>
      <c r="AF30" s="262" t="s">
        <v>621</v>
      </c>
      <c r="AG30" s="262" t="s">
        <v>621</v>
      </c>
      <c r="AH30" s="262" t="s">
        <v>621</v>
      </c>
      <c r="AI30" s="262" t="s">
        <v>621</v>
      </c>
      <c r="AJ30" s="262" t="s">
        <v>621</v>
      </c>
      <c r="AK30" s="262" t="s">
        <v>621</v>
      </c>
      <c r="AL30" s="262" t="s">
        <v>621</v>
      </c>
      <c r="AM30" s="262" t="s">
        <v>621</v>
      </c>
      <c r="AN30" s="262" t="s">
        <v>621</v>
      </c>
      <c r="AO30" s="262" t="s">
        <v>621</v>
      </c>
      <c r="AP30" s="262" t="s">
        <v>621</v>
      </c>
      <c r="AQ30" s="262" t="s">
        <v>621</v>
      </c>
      <c r="AR30" s="262" t="s">
        <v>621</v>
      </c>
      <c r="AS30" s="262" t="s">
        <v>621</v>
      </c>
    </row>
    <row r="31" spans="1:45" s="347" customFormat="1" ht="184.5" hidden="1" x14ac:dyDescent="0.25">
      <c r="A31" s="316" t="s">
        <v>568</v>
      </c>
      <c r="B31" s="426" t="s">
        <v>726</v>
      </c>
      <c r="C31" s="262" t="s">
        <v>621</v>
      </c>
      <c r="D31" s="262" t="s">
        <v>621</v>
      </c>
      <c r="E31" s="262" t="s">
        <v>621</v>
      </c>
      <c r="F31" s="262" t="s">
        <v>621</v>
      </c>
      <c r="G31" s="262" t="s">
        <v>621</v>
      </c>
      <c r="H31" s="262" t="s">
        <v>621</v>
      </c>
      <c r="I31" s="262" t="s">
        <v>621</v>
      </c>
      <c r="J31" s="262" t="s">
        <v>621</v>
      </c>
      <c r="K31" s="262" t="s">
        <v>621</v>
      </c>
      <c r="L31" s="262" t="s">
        <v>621</v>
      </c>
      <c r="M31" s="262" t="s">
        <v>621</v>
      </c>
      <c r="N31" s="262" t="s">
        <v>621</v>
      </c>
      <c r="O31" s="262" t="s">
        <v>621</v>
      </c>
      <c r="P31" s="262" t="s">
        <v>621</v>
      </c>
      <c r="Q31" s="262" t="s">
        <v>621</v>
      </c>
      <c r="R31" s="262" t="s">
        <v>621</v>
      </c>
      <c r="S31" s="262" t="s">
        <v>621</v>
      </c>
      <c r="T31" s="262" t="s">
        <v>621</v>
      </c>
      <c r="U31" s="262" t="s">
        <v>621</v>
      </c>
      <c r="V31" s="262" t="s">
        <v>621</v>
      </c>
      <c r="W31" s="262" t="s">
        <v>621</v>
      </c>
      <c r="X31" s="262" t="s">
        <v>621</v>
      </c>
      <c r="Y31" s="262" t="s">
        <v>621</v>
      </c>
      <c r="Z31" s="262" t="s">
        <v>621</v>
      </c>
      <c r="AA31" s="262" t="s">
        <v>621</v>
      </c>
      <c r="AB31" s="262" t="s">
        <v>621</v>
      </c>
      <c r="AC31" s="262" t="s">
        <v>621</v>
      </c>
      <c r="AD31" s="262" t="s">
        <v>621</v>
      </c>
      <c r="AE31" s="262" t="s">
        <v>621</v>
      </c>
      <c r="AF31" s="262" t="s">
        <v>621</v>
      </c>
      <c r="AG31" s="262" t="s">
        <v>621</v>
      </c>
      <c r="AH31" s="262" t="s">
        <v>621</v>
      </c>
      <c r="AI31" s="262" t="s">
        <v>621</v>
      </c>
      <c r="AJ31" s="262" t="s">
        <v>621</v>
      </c>
      <c r="AK31" s="262" t="s">
        <v>621</v>
      </c>
      <c r="AL31" s="262" t="s">
        <v>621</v>
      </c>
      <c r="AM31" s="262" t="s">
        <v>621</v>
      </c>
      <c r="AN31" s="262" t="s">
        <v>621</v>
      </c>
      <c r="AO31" s="262" t="s">
        <v>621</v>
      </c>
      <c r="AP31" s="262" t="s">
        <v>621</v>
      </c>
      <c r="AQ31" s="262" t="s">
        <v>621</v>
      </c>
      <c r="AR31" s="262" t="s">
        <v>621</v>
      </c>
      <c r="AS31" s="262" t="s">
        <v>621</v>
      </c>
    </row>
    <row r="32" spans="1:45" s="347" customFormat="1" ht="184.5" hidden="1" x14ac:dyDescent="0.25">
      <c r="A32" s="316" t="s">
        <v>569</v>
      </c>
      <c r="B32" s="426" t="s">
        <v>727</v>
      </c>
      <c r="C32" s="262" t="s">
        <v>621</v>
      </c>
      <c r="D32" s="262" t="s">
        <v>621</v>
      </c>
      <c r="E32" s="262" t="s">
        <v>621</v>
      </c>
      <c r="F32" s="262" t="s">
        <v>621</v>
      </c>
      <c r="G32" s="262" t="s">
        <v>621</v>
      </c>
      <c r="H32" s="262" t="s">
        <v>621</v>
      </c>
      <c r="I32" s="262" t="s">
        <v>621</v>
      </c>
      <c r="J32" s="262" t="s">
        <v>621</v>
      </c>
      <c r="K32" s="262" t="s">
        <v>621</v>
      </c>
      <c r="L32" s="262" t="s">
        <v>621</v>
      </c>
      <c r="M32" s="262" t="s">
        <v>621</v>
      </c>
      <c r="N32" s="262" t="s">
        <v>621</v>
      </c>
      <c r="O32" s="262" t="s">
        <v>621</v>
      </c>
      <c r="P32" s="262" t="s">
        <v>621</v>
      </c>
      <c r="Q32" s="262" t="s">
        <v>621</v>
      </c>
      <c r="R32" s="262" t="s">
        <v>621</v>
      </c>
      <c r="S32" s="262" t="s">
        <v>621</v>
      </c>
      <c r="T32" s="262" t="s">
        <v>621</v>
      </c>
      <c r="U32" s="262" t="s">
        <v>621</v>
      </c>
      <c r="V32" s="262" t="s">
        <v>621</v>
      </c>
      <c r="W32" s="262" t="s">
        <v>621</v>
      </c>
      <c r="X32" s="262" t="s">
        <v>621</v>
      </c>
      <c r="Y32" s="262" t="s">
        <v>621</v>
      </c>
      <c r="Z32" s="262" t="s">
        <v>621</v>
      </c>
      <c r="AA32" s="262" t="s">
        <v>621</v>
      </c>
      <c r="AB32" s="262" t="s">
        <v>621</v>
      </c>
      <c r="AC32" s="262" t="s">
        <v>621</v>
      </c>
      <c r="AD32" s="262" t="s">
        <v>621</v>
      </c>
      <c r="AE32" s="262" t="s">
        <v>621</v>
      </c>
      <c r="AF32" s="262" t="s">
        <v>621</v>
      </c>
      <c r="AG32" s="262" t="s">
        <v>621</v>
      </c>
      <c r="AH32" s="262" t="s">
        <v>621</v>
      </c>
      <c r="AI32" s="262" t="s">
        <v>621</v>
      </c>
      <c r="AJ32" s="262" t="s">
        <v>621</v>
      </c>
      <c r="AK32" s="262" t="s">
        <v>621</v>
      </c>
      <c r="AL32" s="262" t="s">
        <v>621</v>
      </c>
      <c r="AM32" s="262" t="s">
        <v>621</v>
      </c>
      <c r="AN32" s="262" t="s">
        <v>621</v>
      </c>
      <c r="AO32" s="262" t="s">
        <v>621</v>
      </c>
      <c r="AP32" s="262" t="s">
        <v>621</v>
      </c>
      <c r="AQ32" s="262" t="s">
        <v>621</v>
      </c>
      <c r="AR32" s="262" t="s">
        <v>621</v>
      </c>
      <c r="AS32" s="262" t="s">
        <v>621</v>
      </c>
    </row>
    <row r="33" spans="1:45" s="347" customFormat="1" ht="184.5" hidden="1" x14ac:dyDescent="0.25">
      <c r="A33" s="316" t="s">
        <v>570</v>
      </c>
      <c r="B33" s="426" t="s">
        <v>728</v>
      </c>
      <c r="C33" s="262" t="s">
        <v>621</v>
      </c>
      <c r="D33" s="262" t="s">
        <v>621</v>
      </c>
      <c r="E33" s="262" t="s">
        <v>621</v>
      </c>
      <c r="F33" s="262" t="s">
        <v>621</v>
      </c>
      <c r="G33" s="262" t="s">
        <v>621</v>
      </c>
      <c r="H33" s="262" t="s">
        <v>621</v>
      </c>
      <c r="I33" s="262" t="s">
        <v>621</v>
      </c>
      <c r="J33" s="262" t="s">
        <v>621</v>
      </c>
      <c r="K33" s="262" t="s">
        <v>621</v>
      </c>
      <c r="L33" s="262" t="s">
        <v>621</v>
      </c>
      <c r="M33" s="262" t="s">
        <v>621</v>
      </c>
      <c r="N33" s="262" t="s">
        <v>621</v>
      </c>
      <c r="O33" s="262" t="s">
        <v>621</v>
      </c>
      <c r="P33" s="262" t="s">
        <v>621</v>
      </c>
      <c r="Q33" s="262" t="s">
        <v>621</v>
      </c>
      <c r="R33" s="262" t="s">
        <v>621</v>
      </c>
      <c r="S33" s="262" t="s">
        <v>621</v>
      </c>
      <c r="T33" s="262" t="s">
        <v>621</v>
      </c>
      <c r="U33" s="262" t="s">
        <v>621</v>
      </c>
      <c r="V33" s="262" t="s">
        <v>621</v>
      </c>
      <c r="W33" s="262" t="s">
        <v>621</v>
      </c>
      <c r="X33" s="262" t="s">
        <v>621</v>
      </c>
      <c r="Y33" s="262" t="s">
        <v>621</v>
      </c>
      <c r="Z33" s="262" t="s">
        <v>621</v>
      </c>
      <c r="AA33" s="262" t="s">
        <v>621</v>
      </c>
      <c r="AB33" s="262" t="s">
        <v>621</v>
      </c>
      <c r="AC33" s="262" t="s">
        <v>621</v>
      </c>
      <c r="AD33" s="262" t="s">
        <v>621</v>
      </c>
      <c r="AE33" s="262" t="s">
        <v>621</v>
      </c>
      <c r="AF33" s="262" t="s">
        <v>621</v>
      </c>
      <c r="AG33" s="262" t="s">
        <v>621</v>
      </c>
      <c r="AH33" s="262" t="s">
        <v>621</v>
      </c>
      <c r="AI33" s="262" t="s">
        <v>621</v>
      </c>
      <c r="AJ33" s="262" t="s">
        <v>621</v>
      </c>
      <c r="AK33" s="262" t="s">
        <v>621</v>
      </c>
      <c r="AL33" s="262" t="s">
        <v>621</v>
      </c>
      <c r="AM33" s="262" t="s">
        <v>621</v>
      </c>
      <c r="AN33" s="262" t="s">
        <v>621</v>
      </c>
      <c r="AO33" s="262" t="s">
        <v>621</v>
      </c>
      <c r="AP33" s="262" t="s">
        <v>621</v>
      </c>
      <c r="AQ33" s="262" t="s">
        <v>621</v>
      </c>
      <c r="AR33" s="262" t="s">
        <v>621</v>
      </c>
      <c r="AS33" s="262" t="s">
        <v>621</v>
      </c>
    </row>
    <row r="34" spans="1:45" s="347" customFormat="1" ht="123" hidden="1" x14ac:dyDescent="0.25">
      <c r="A34" s="316" t="s">
        <v>541</v>
      </c>
      <c r="B34" s="426" t="s">
        <v>729</v>
      </c>
      <c r="C34" s="262" t="s">
        <v>621</v>
      </c>
      <c r="D34" s="262" t="s">
        <v>621</v>
      </c>
      <c r="E34" s="262" t="s">
        <v>621</v>
      </c>
      <c r="F34" s="262" t="s">
        <v>621</v>
      </c>
      <c r="G34" s="262" t="s">
        <v>621</v>
      </c>
      <c r="H34" s="262" t="s">
        <v>621</v>
      </c>
      <c r="I34" s="262" t="s">
        <v>621</v>
      </c>
      <c r="J34" s="262" t="s">
        <v>621</v>
      </c>
      <c r="K34" s="262" t="s">
        <v>621</v>
      </c>
      <c r="L34" s="262" t="s">
        <v>621</v>
      </c>
      <c r="M34" s="262" t="s">
        <v>621</v>
      </c>
      <c r="N34" s="262" t="s">
        <v>621</v>
      </c>
      <c r="O34" s="262" t="s">
        <v>621</v>
      </c>
      <c r="P34" s="262" t="s">
        <v>621</v>
      </c>
      <c r="Q34" s="262" t="s">
        <v>621</v>
      </c>
      <c r="R34" s="262" t="s">
        <v>621</v>
      </c>
      <c r="S34" s="262" t="s">
        <v>621</v>
      </c>
      <c r="T34" s="262" t="s">
        <v>621</v>
      </c>
      <c r="U34" s="262" t="s">
        <v>621</v>
      </c>
      <c r="V34" s="262" t="s">
        <v>621</v>
      </c>
      <c r="W34" s="262" t="s">
        <v>621</v>
      </c>
      <c r="X34" s="262" t="s">
        <v>621</v>
      </c>
      <c r="Y34" s="262" t="s">
        <v>621</v>
      </c>
      <c r="Z34" s="262" t="s">
        <v>621</v>
      </c>
      <c r="AA34" s="262" t="s">
        <v>621</v>
      </c>
      <c r="AB34" s="262" t="s">
        <v>621</v>
      </c>
      <c r="AC34" s="262" t="s">
        <v>621</v>
      </c>
      <c r="AD34" s="262" t="s">
        <v>621</v>
      </c>
      <c r="AE34" s="262" t="s">
        <v>621</v>
      </c>
      <c r="AF34" s="262" t="s">
        <v>621</v>
      </c>
      <c r="AG34" s="262" t="s">
        <v>621</v>
      </c>
      <c r="AH34" s="262" t="s">
        <v>621</v>
      </c>
      <c r="AI34" s="262" t="s">
        <v>621</v>
      </c>
      <c r="AJ34" s="262" t="s">
        <v>621</v>
      </c>
      <c r="AK34" s="262" t="s">
        <v>621</v>
      </c>
      <c r="AL34" s="262" t="s">
        <v>621</v>
      </c>
      <c r="AM34" s="262" t="s">
        <v>621</v>
      </c>
      <c r="AN34" s="262" t="s">
        <v>621</v>
      </c>
      <c r="AO34" s="262" t="s">
        <v>621</v>
      </c>
      <c r="AP34" s="262" t="s">
        <v>621</v>
      </c>
      <c r="AQ34" s="262" t="s">
        <v>621</v>
      </c>
      <c r="AR34" s="262" t="s">
        <v>621</v>
      </c>
      <c r="AS34" s="262" t="s">
        <v>621</v>
      </c>
    </row>
    <row r="35" spans="1:45" s="347" customFormat="1" ht="215.25" hidden="1" x14ac:dyDescent="0.25">
      <c r="A35" s="316" t="s">
        <v>572</v>
      </c>
      <c r="B35" s="426" t="s">
        <v>730</v>
      </c>
      <c r="C35" s="262" t="s">
        <v>621</v>
      </c>
      <c r="D35" s="262" t="s">
        <v>621</v>
      </c>
      <c r="E35" s="262" t="s">
        <v>621</v>
      </c>
      <c r="F35" s="262" t="s">
        <v>621</v>
      </c>
      <c r="G35" s="262" t="s">
        <v>621</v>
      </c>
      <c r="H35" s="262" t="s">
        <v>621</v>
      </c>
      <c r="I35" s="262" t="s">
        <v>621</v>
      </c>
      <c r="J35" s="262" t="s">
        <v>621</v>
      </c>
      <c r="K35" s="262" t="s">
        <v>621</v>
      </c>
      <c r="L35" s="262" t="s">
        <v>621</v>
      </c>
      <c r="M35" s="262" t="s">
        <v>621</v>
      </c>
      <c r="N35" s="262" t="s">
        <v>621</v>
      </c>
      <c r="O35" s="262" t="s">
        <v>621</v>
      </c>
      <c r="P35" s="262" t="s">
        <v>621</v>
      </c>
      <c r="Q35" s="262" t="s">
        <v>621</v>
      </c>
      <c r="R35" s="262" t="s">
        <v>621</v>
      </c>
      <c r="S35" s="262" t="s">
        <v>621</v>
      </c>
      <c r="T35" s="262" t="s">
        <v>621</v>
      </c>
      <c r="U35" s="262" t="s">
        <v>621</v>
      </c>
      <c r="V35" s="262" t="s">
        <v>621</v>
      </c>
      <c r="W35" s="262" t="s">
        <v>621</v>
      </c>
      <c r="X35" s="262" t="s">
        <v>621</v>
      </c>
      <c r="Y35" s="262" t="s">
        <v>621</v>
      </c>
      <c r="Z35" s="262" t="s">
        <v>621</v>
      </c>
      <c r="AA35" s="262" t="s">
        <v>621</v>
      </c>
      <c r="AB35" s="262" t="s">
        <v>621</v>
      </c>
      <c r="AC35" s="262" t="s">
        <v>621</v>
      </c>
      <c r="AD35" s="262" t="s">
        <v>621</v>
      </c>
      <c r="AE35" s="262" t="s">
        <v>621</v>
      </c>
      <c r="AF35" s="262" t="s">
        <v>621</v>
      </c>
      <c r="AG35" s="262" t="s">
        <v>621</v>
      </c>
      <c r="AH35" s="262" t="s">
        <v>621</v>
      </c>
      <c r="AI35" s="262" t="s">
        <v>621</v>
      </c>
      <c r="AJ35" s="262" t="s">
        <v>621</v>
      </c>
      <c r="AK35" s="262" t="s">
        <v>621</v>
      </c>
      <c r="AL35" s="262" t="s">
        <v>621</v>
      </c>
      <c r="AM35" s="262" t="s">
        <v>621</v>
      </c>
      <c r="AN35" s="262" t="s">
        <v>621</v>
      </c>
      <c r="AO35" s="262" t="s">
        <v>621</v>
      </c>
      <c r="AP35" s="262" t="s">
        <v>621</v>
      </c>
      <c r="AQ35" s="262" t="s">
        <v>621</v>
      </c>
      <c r="AR35" s="262" t="s">
        <v>621</v>
      </c>
      <c r="AS35" s="262" t="s">
        <v>621</v>
      </c>
    </row>
    <row r="36" spans="1:45" s="347" customFormat="1" ht="153.75" hidden="1" x14ac:dyDescent="0.25">
      <c r="A36" s="316" t="s">
        <v>573</v>
      </c>
      <c r="B36" s="426" t="s">
        <v>731</v>
      </c>
      <c r="C36" s="262" t="s">
        <v>621</v>
      </c>
      <c r="D36" s="262" t="s">
        <v>621</v>
      </c>
      <c r="E36" s="262" t="s">
        <v>621</v>
      </c>
      <c r="F36" s="262" t="s">
        <v>621</v>
      </c>
      <c r="G36" s="262" t="s">
        <v>621</v>
      </c>
      <c r="H36" s="262" t="s">
        <v>621</v>
      </c>
      <c r="I36" s="262" t="s">
        <v>621</v>
      </c>
      <c r="J36" s="262" t="s">
        <v>621</v>
      </c>
      <c r="K36" s="262" t="s">
        <v>621</v>
      </c>
      <c r="L36" s="262" t="s">
        <v>621</v>
      </c>
      <c r="M36" s="262" t="s">
        <v>621</v>
      </c>
      <c r="N36" s="262" t="s">
        <v>621</v>
      </c>
      <c r="O36" s="262" t="s">
        <v>621</v>
      </c>
      <c r="P36" s="262" t="s">
        <v>621</v>
      </c>
      <c r="Q36" s="262" t="s">
        <v>621</v>
      </c>
      <c r="R36" s="262" t="s">
        <v>621</v>
      </c>
      <c r="S36" s="262" t="s">
        <v>621</v>
      </c>
      <c r="T36" s="262" t="s">
        <v>621</v>
      </c>
      <c r="U36" s="262" t="s">
        <v>621</v>
      </c>
      <c r="V36" s="262" t="s">
        <v>621</v>
      </c>
      <c r="W36" s="262" t="s">
        <v>621</v>
      </c>
      <c r="X36" s="262" t="s">
        <v>621</v>
      </c>
      <c r="Y36" s="262" t="s">
        <v>621</v>
      </c>
      <c r="Z36" s="262" t="s">
        <v>621</v>
      </c>
      <c r="AA36" s="262" t="s">
        <v>621</v>
      </c>
      <c r="AB36" s="262" t="s">
        <v>621</v>
      </c>
      <c r="AC36" s="262" t="s">
        <v>621</v>
      </c>
      <c r="AD36" s="262" t="s">
        <v>621</v>
      </c>
      <c r="AE36" s="262" t="s">
        <v>621</v>
      </c>
      <c r="AF36" s="262" t="s">
        <v>621</v>
      </c>
      <c r="AG36" s="262" t="s">
        <v>621</v>
      </c>
      <c r="AH36" s="262" t="s">
        <v>621</v>
      </c>
      <c r="AI36" s="262" t="s">
        <v>621</v>
      </c>
      <c r="AJ36" s="262" t="s">
        <v>621</v>
      </c>
      <c r="AK36" s="262" t="s">
        <v>621</v>
      </c>
      <c r="AL36" s="262" t="s">
        <v>621</v>
      </c>
      <c r="AM36" s="262" t="s">
        <v>621</v>
      </c>
      <c r="AN36" s="262" t="s">
        <v>621</v>
      </c>
      <c r="AO36" s="262" t="s">
        <v>621</v>
      </c>
      <c r="AP36" s="262" t="s">
        <v>621</v>
      </c>
      <c r="AQ36" s="262" t="s">
        <v>621</v>
      </c>
      <c r="AR36" s="262" t="s">
        <v>621</v>
      </c>
      <c r="AS36" s="262" t="s">
        <v>621</v>
      </c>
    </row>
    <row r="37" spans="1:45" s="347" customFormat="1" ht="123" hidden="1" x14ac:dyDescent="0.25">
      <c r="A37" s="316" t="s">
        <v>542</v>
      </c>
      <c r="B37" s="426" t="s">
        <v>732</v>
      </c>
      <c r="C37" s="262" t="s">
        <v>621</v>
      </c>
      <c r="D37" s="262" t="s">
        <v>621</v>
      </c>
      <c r="E37" s="262" t="s">
        <v>621</v>
      </c>
      <c r="F37" s="262" t="s">
        <v>621</v>
      </c>
      <c r="G37" s="262" t="s">
        <v>621</v>
      </c>
      <c r="H37" s="262" t="s">
        <v>621</v>
      </c>
      <c r="I37" s="262" t="s">
        <v>621</v>
      </c>
      <c r="J37" s="262" t="s">
        <v>621</v>
      </c>
      <c r="K37" s="262" t="s">
        <v>621</v>
      </c>
      <c r="L37" s="262" t="s">
        <v>621</v>
      </c>
      <c r="M37" s="262" t="s">
        <v>621</v>
      </c>
      <c r="N37" s="262" t="s">
        <v>621</v>
      </c>
      <c r="O37" s="262" t="s">
        <v>621</v>
      </c>
      <c r="P37" s="262" t="s">
        <v>621</v>
      </c>
      <c r="Q37" s="262" t="s">
        <v>621</v>
      </c>
      <c r="R37" s="262" t="s">
        <v>621</v>
      </c>
      <c r="S37" s="262" t="s">
        <v>621</v>
      </c>
      <c r="T37" s="262" t="s">
        <v>621</v>
      </c>
      <c r="U37" s="262" t="s">
        <v>621</v>
      </c>
      <c r="V37" s="262" t="s">
        <v>621</v>
      </c>
      <c r="W37" s="262" t="s">
        <v>621</v>
      </c>
      <c r="X37" s="262" t="s">
        <v>621</v>
      </c>
      <c r="Y37" s="262" t="s">
        <v>621</v>
      </c>
      <c r="Z37" s="262" t="s">
        <v>621</v>
      </c>
      <c r="AA37" s="262" t="s">
        <v>621</v>
      </c>
      <c r="AB37" s="262" t="s">
        <v>621</v>
      </c>
      <c r="AC37" s="262" t="s">
        <v>621</v>
      </c>
      <c r="AD37" s="262" t="s">
        <v>621</v>
      </c>
      <c r="AE37" s="262" t="s">
        <v>621</v>
      </c>
      <c r="AF37" s="262" t="s">
        <v>621</v>
      </c>
      <c r="AG37" s="262" t="s">
        <v>621</v>
      </c>
      <c r="AH37" s="262" t="s">
        <v>621</v>
      </c>
      <c r="AI37" s="262" t="s">
        <v>621</v>
      </c>
      <c r="AJ37" s="262" t="s">
        <v>621</v>
      </c>
      <c r="AK37" s="262" t="s">
        <v>621</v>
      </c>
      <c r="AL37" s="262" t="s">
        <v>621</v>
      </c>
      <c r="AM37" s="262" t="s">
        <v>621</v>
      </c>
      <c r="AN37" s="262" t="s">
        <v>621</v>
      </c>
      <c r="AO37" s="262" t="s">
        <v>621</v>
      </c>
      <c r="AP37" s="262" t="s">
        <v>621</v>
      </c>
      <c r="AQ37" s="262" t="s">
        <v>621</v>
      </c>
      <c r="AR37" s="262" t="s">
        <v>621</v>
      </c>
      <c r="AS37" s="262" t="s">
        <v>621</v>
      </c>
    </row>
    <row r="38" spans="1:45" s="347" customFormat="1" ht="92.25" hidden="1" x14ac:dyDescent="0.25">
      <c r="A38" s="316"/>
      <c r="B38" s="426" t="s">
        <v>733</v>
      </c>
      <c r="C38" s="262" t="s">
        <v>621</v>
      </c>
      <c r="D38" s="262" t="s">
        <v>621</v>
      </c>
      <c r="E38" s="262" t="s">
        <v>621</v>
      </c>
      <c r="F38" s="262" t="s">
        <v>621</v>
      </c>
      <c r="G38" s="262" t="s">
        <v>621</v>
      </c>
      <c r="H38" s="262" t="s">
        <v>621</v>
      </c>
      <c r="I38" s="262" t="s">
        <v>621</v>
      </c>
      <c r="J38" s="262" t="s">
        <v>621</v>
      </c>
      <c r="K38" s="262" t="s">
        <v>621</v>
      </c>
      <c r="L38" s="262" t="s">
        <v>621</v>
      </c>
      <c r="M38" s="262" t="s">
        <v>621</v>
      </c>
      <c r="N38" s="262" t="s">
        <v>621</v>
      </c>
      <c r="O38" s="262" t="s">
        <v>621</v>
      </c>
      <c r="P38" s="262" t="s">
        <v>621</v>
      </c>
      <c r="Q38" s="262" t="s">
        <v>621</v>
      </c>
      <c r="R38" s="262" t="s">
        <v>621</v>
      </c>
      <c r="S38" s="262" t="s">
        <v>621</v>
      </c>
      <c r="T38" s="262" t="s">
        <v>621</v>
      </c>
      <c r="U38" s="262" t="s">
        <v>621</v>
      </c>
      <c r="V38" s="262" t="s">
        <v>621</v>
      </c>
      <c r="W38" s="262" t="s">
        <v>621</v>
      </c>
      <c r="X38" s="262" t="s">
        <v>621</v>
      </c>
      <c r="Y38" s="262" t="s">
        <v>621</v>
      </c>
      <c r="Z38" s="262" t="s">
        <v>621</v>
      </c>
      <c r="AA38" s="262" t="s">
        <v>621</v>
      </c>
      <c r="AB38" s="262" t="s">
        <v>621</v>
      </c>
      <c r="AC38" s="262" t="s">
        <v>621</v>
      </c>
      <c r="AD38" s="262" t="s">
        <v>621</v>
      </c>
      <c r="AE38" s="262" t="s">
        <v>621</v>
      </c>
      <c r="AF38" s="262" t="s">
        <v>621</v>
      </c>
      <c r="AG38" s="262" t="s">
        <v>621</v>
      </c>
      <c r="AH38" s="262" t="s">
        <v>621</v>
      </c>
      <c r="AI38" s="262" t="s">
        <v>621</v>
      </c>
      <c r="AJ38" s="262" t="s">
        <v>621</v>
      </c>
      <c r="AK38" s="262" t="s">
        <v>621</v>
      </c>
      <c r="AL38" s="262" t="s">
        <v>621</v>
      </c>
      <c r="AM38" s="262" t="s">
        <v>621</v>
      </c>
      <c r="AN38" s="262" t="s">
        <v>621</v>
      </c>
      <c r="AO38" s="262" t="s">
        <v>621</v>
      </c>
      <c r="AP38" s="262" t="s">
        <v>621</v>
      </c>
      <c r="AQ38" s="262" t="s">
        <v>621</v>
      </c>
      <c r="AR38" s="262" t="s">
        <v>621</v>
      </c>
      <c r="AS38" s="262" t="s">
        <v>621</v>
      </c>
    </row>
    <row r="39" spans="1:45" s="347" customFormat="1" ht="307.5" hidden="1" x14ac:dyDescent="0.25">
      <c r="A39" s="316" t="s">
        <v>576</v>
      </c>
      <c r="B39" s="426" t="s">
        <v>734</v>
      </c>
      <c r="C39" s="262" t="s">
        <v>621</v>
      </c>
      <c r="D39" s="262" t="s">
        <v>621</v>
      </c>
      <c r="E39" s="262" t="s">
        <v>621</v>
      </c>
      <c r="F39" s="262" t="s">
        <v>621</v>
      </c>
      <c r="G39" s="262" t="s">
        <v>621</v>
      </c>
      <c r="H39" s="262" t="s">
        <v>621</v>
      </c>
      <c r="I39" s="262" t="s">
        <v>621</v>
      </c>
      <c r="J39" s="262" t="s">
        <v>621</v>
      </c>
      <c r="K39" s="262" t="s">
        <v>621</v>
      </c>
      <c r="L39" s="262" t="s">
        <v>621</v>
      </c>
      <c r="M39" s="262" t="s">
        <v>621</v>
      </c>
      <c r="N39" s="262" t="s">
        <v>621</v>
      </c>
      <c r="O39" s="262" t="s">
        <v>621</v>
      </c>
      <c r="P39" s="262" t="s">
        <v>621</v>
      </c>
      <c r="Q39" s="262" t="s">
        <v>621</v>
      </c>
      <c r="R39" s="262" t="s">
        <v>621</v>
      </c>
      <c r="S39" s="262" t="s">
        <v>621</v>
      </c>
      <c r="T39" s="262" t="s">
        <v>621</v>
      </c>
      <c r="U39" s="262" t="s">
        <v>621</v>
      </c>
      <c r="V39" s="262" t="s">
        <v>621</v>
      </c>
      <c r="W39" s="262" t="s">
        <v>621</v>
      </c>
      <c r="X39" s="262" t="s">
        <v>621</v>
      </c>
      <c r="Y39" s="262" t="s">
        <v>621</v>
      </c>
      <c r="Z39" s="262" t="s">
        <v>621</v>
      </c>
      <c r="AA39" s="262" t="s">
        <v>621</v>
      </c>
      <c r="AB39" s="262" t="s">
        <v>621</v>
      </c>
      <c r="AC39" s="262" t="s">
        <v>621</v>
      </c>
      <c r="AD39" s="262" t="s">
        <v>621</v>
      </c>
      <c r="AE39" s="262" t="s">
        <v>621</v>
      </c>
      <c r="AF39" s="262" t="s">
        <v>621</v>
      </c>
      <c r="AG39" s="262" t="s">
        <v>621</v>
      </c>
      <c r="AH39" s="262" t="s">
        <v>621</v>
      </c>
      <c r="AI39" s="262" t="s">
        <v>621</v>
      </c>
      <c r="AJ39" s="262" t="s">
        <v>621</v>
      </c>
      <c r="AK39" s="262" t="s">
        <v>621</v>
      </c>
      <c r="AL39" s="262" t="s">
        <v>621</v>
      </c>
      <c r="AM39" s="262" t="s">
        <v>621</v>
      </c>
      <c r="AN39" s="262" t="s">
        <v>621</v>
      </c>
      <c r="AO39" s="262" t="s">
        <v>621</v>
      </c>
      <c r="AP39" s="262" t="s">
        <v>621</v>
      </c>
      <c r="AQ39" s="262" t="s">
        <v>621</v>
      </c>
      <c r="AR39" s="262" t="s">
        <v>621</v>
      </c>
      <c r="AS39" s="262" t="s">
        <v>621</v>
      </c>
    </row>
    <row r="40" spans="1:45" s="347" customFormat="1" ht="276.75" hidden="1" x14ac:dyDescent="0.25">
      <c r="A40" s="316" t="s">
        <v>577</v>
      </c>
      <c r="B40" s="426" t="s">
        <v>735</v>
      </c>
      <c r="C40" s="262" t="s">
        <v>621</v>
      </c>
      <c r="D40" s="262" t="s">
        <v>621</v>
      </c>
      <c r="E40" s="262" t="s">
        <v>621</v>
      </c>
      <c r="F40" s="262" t="s">
        <v>621</v>
      </c>
      <c r="G40" s="262" t="s">
        <v>621</v>
      </c>
      <c r="H40" s="262" t="s">
        <v>621</v>
      </c>
      <c r="I40" s="262" t="s">
        <v>621</v>
      </c>
      <c r="J40" s="262" t="s">
        <v>621</v>
      </c>
      <c r="K40" s="262" t="s">
        <v>621</v>
      </c>
      <c r="L40" s="262" t="s">
        <v>621</v>
      </c>
      <c r="M40" s="262" t="s">
        <v>621</v>
      </c>
      <c r="N40" s="262" t="s">
        <v>621</v>
      </c>
      <c r="O40" s="262" t="s">
        <v>621</v>
      </c>
      <c r="P40" s="262" t="s">
        <v>621</v>
      </c>
      <c r="Q40" s="262" t="s">
        <v>621</v>
      </c>
      <c r="R40" s="262" t="s">
        <v>621</v>
      </c>
      <c r="S40" s="262" t="s">
        <v>621</v>
      </c>
      <c r="T40" s="262" t="s">
        <v>621</v>
      </c>
      <c r="U40" s="262" t="s">
        <v>621</v>
      </c>
      <c r="V40" s="262" t="s">
        <v>621</v>
      </c>
      <c r="W40" s="262" t="s">
        <v>621</v>
      </c>
      <c r="X40" s="262" t="s">
        <v>621</v>
      </c>
      <c r="Y40" s="262" t="s">
        <v>621</v>
      </c>
      <c r="Z40" s="262" t="s">
        <v>621</v>
      </c>
      <c r="AA40" s="262" t="s">
        <v>621</v>
      </c>
      <c r="AB40" s="262" t="s">
        <v>621</v>
      </c>
      <c r="AC40" s="262" t="s">
        <v>621</v>
      </c>
      <c r="AD40" s="262" t="s">
        <v>621</v>
      </c>
      <c r="AE40" s="262" t="s">
        <v>621</v>
      </c>
      <c r="AF40" s="262" t="s">
        <v>621</v>
      </c>
      <c r="AG40" s="262" t="s">
        <v>621</v>
      </c>
      <c r="AH40" s="262" t="s">
        <v>621</v>
      </c>
      <c r="AI40" s="262" t="s">
        <v>621</v>
      </c>
      <c r="AJ40" s="262" t="s">
        <v>621</v>
      </c>
      <c r="AK40" s="262" t="s">
        <v>621</v>
      </c>
      <c r="AL40" s="262" t="s">
        <v>621</v>
      </c>
      <c r="AM40" s="262" t="s">
        <v>621</v>
      </c>
      <c r="AN40" s="262" t="s">
        <v>621</v>
      </c>
      <c r="AO40" s="262" t="s">
        <v>621</v>
      </c>
      <c r="AP40" s="262" t="s">
        <v>621</v>
      </c>
      <c r="AQ40" s="262" t="s">
        <v>621</v>
      </c>
      <c r="AR40" s="262" t="s">
        <v>621</v>
      </c>
      <c r="AS40" s="262" t="s">
        <v>621</v>
      </c>
    </row>
    <row r="41" spans="1:45" s="347" customFormat="1" ht="276.75" hidden="1" x14ac:dyDescent="0.25">
      <c r="A41" s="316" t="s">
        <v>578</v>
      </c>
      <c r="B41" s="426" t="s">
        <v>736</v>
      </c>
      <c r="C41" s="262" t="s">
        <v>621</v>
      </c>
      <c r="D41" s="262" t="s">
        <v>621</v>
      </c>
      <c r="E41" s="262" t="s">
        <v>621</v>
      </c>
      <c r="F41" s="262" t="s">
        <v>621</v>
      </c>
      <c r="G41" s="262" t="s">
        <v>621</v>
      </c>
      <c r="H41" s="262" t="s">
        <v>621</v>
      </c>
      <c r="I41" s="262" t="s">
        <v>621</v>
      </c>
      <c r="J41" s="262" t="s">
        <v>621</v>
      </c>
      <c r="K41" s="262" t="s">
        <v>621</v>
      </c>
      <c r="L41" s="262" t="s">
        <v>621</v>
      </c>
      <c r="M41" s="262" t="s">
        <v>621</v>
      </c>
      <c r="N41" s="262" t="s">
        <v>621</v>
      </c>
      <c r="O41" s="262" t="s">
        <v>621</v>
      </c>
      <c r="P41" s="262" t="s">
        <v>621</v>
      </c>
      <c r="Q41" s="262" t="s">
        <v>621</v>
      </c>
      <c r="R41" s="262" t="s">
        <v>621</v>
      </c>
      <c r="S41" s="262" t="s">
        <v>621</v>
      </c>
      <c r="T41" s="262" t="s">
        <v>621</v>
      </c>
      <c r="U41" s="262" t="s">
        <v>621</v>
      </c>
      <c r="V41" s="262" t="s">
        <v>621</v>
      </c>
      <c r="W41" s="262" t="s">
        <v>621</v>
      </c>
      <c r="X41" s="262" t="s">
        <v>621</v>
      </c>
      <c r="Y41" s="262" t="s">
        <v>621</v>
      </c>
      <c r="Z41" s="262" t="s">
        <v>621</v>
      </c>
      <c r="AA41" s="262" t="s">
        <v>621</v>
      </c>
      <c r="AB41" s="262" t="s">
        <v>621</v>
      </c>
      <c r="AC41" s="262" t="s">
        <v>621</v>
      </c>
      <c r="AD41" s="262" t="s">
        <v>621</v>
      </c>
      <c r="AE41" s="262" t="s">
        <v>621</v>
      </c>
      <c r="AF41" s="262" t="s">
        <v>621</v>
      </c>
      <c r="AG41" s="262" t="s">
        <v>621</v>
      </c>
      <c r="AH41" s="262" t="s">
        <v>621</v>
      </c>
      <c r="AI41" s="262" t="s">
        <v>621</v>
      </c>
      <c r="AJ41" s="262" t="s">
        <v>621</v>
      </c>
      <c r="AK41" s="262" t="s">
        <v>621</v>
      </c>
      <c r="AL41" s="262" t="s">
        <v>621</v>
      </c>
      <c r="AM41" s="262" t="s">
        <v>621</v>
      </c>
      <c r="AN41" s="262" t="s">
        <v>621</v>
      </c>
      <c r="AO41" s="262" t="s">
        <v>621</v>
      </c>
      <c r="AP41" s="262" t="s">
        <v>621</v>
      </c>
      <c r="AQ41" s="262" t="s">
        <v>621</v>
      </c>
      <c r="AR41" s="262" t="s">
        <v>621</v>
      </c>
      <c r="AS41" s="262" t="s">
        <v>621</v>
      </c>
    </row>
    <row r="42" spans="1:45" s="347" customFormat="1" ht="276.75" hidden="1" x14ac:dyDescent="0.25">
      <c r="A42" s="316" t="s">
        <v>543</v>
      </c>
      <c r="B42" s="426" t="s">
        <v>693</v>
      </c>
      <c r="C42" s="262" t="s">
        <v>621</v>
      </c>
      <c r="D42" s="262" t="s">
        <v>621</v>
      </c>
      <c r="E42" s="262" t="s">
        <v>621</v>
      </c>
      <c r="F42" s="262" t="s">
        <v>621</v>
      </c>
      <c r="G42" s="262" t="s">
        <v>621</v>
      </c>
      <c r="H42" s="262" t="s">
        <v>621</v>
      </c>
      <c r="I42" s="262" t="s">
        <v>621</v>
      </c>
      <c r="J42" s="262" t="s">
        <v>621</v>
      </c>
      <c r="K42" s="262" t="s">
        <v>621</v>
      </c>
      <c r="L42" s="262" t="s">
        <v>621</v>
      </c>
      <c r="M42" s="262" t="s">
        <v>621</v>
      </c>
      <c r="N42" s="262" t="s">
        <v>621</v>
      </c>
      <c r="O42" s="262" t="s">
        <v>621</v>
      </c>
      <c r="P42" s="262" t="s">
        <v>621</v>
      </c>
      <c r="Q42" s="262" t="s">
        <v>621</v>
      </c>
      <c r="R42" s="262" t="s">
        <v>621</v>
      </c>
      <c r="S42" s="262" t="s">
        <v>621</v>
      </c>
      <c r="T42" s="262" t="s">
        <v>621</v>
      </c>
      <c r="U42" s="262" t="s">
        <v>621</v>
      </c>
      <c r="V42" s="262" t="s">
        <v>621</v>
      </c>
      <c r="W42" s="262" t="s">
        <v>621</v>
      </c>
      <c r="X42" s="262" t="s">
        <v>621</v>
      </c>
      <c r="Y42" s="262" t="s">
        <v>621</v>
      </c>
      <c r="Z42" s="262" t="s">
        <v>621</v>
      </c>
      <c r="AA42" s="262" t="s">
        <v>621</v>
      </c>
      <c r="AB42" s="262" t="s">
        <v>621</v>
      </c>
      <c r="AC42" s="262" t="s">
        <v>621</v>
      </c>
      <c r="AD42" s="262" t="s">
        <v>621</v>
      </c>
      <c r="AE42" s="262" t="s">
        <v>621</v>
      </c>
      <c r="AF42" s="262" t="s">
        <v>621</v>
      </c>
      <c r="AG42" s="262" t="s">
        <v>621</v>
      </c>
      <c r="AH42" s="262" t="s">
        <v>621</v>
      </c>
      <c r="AI42" s="262" t="s">
        <v>621</v>
      </c>
      <c r="AJ42" s="262" t="s">
        <v>621</v>
      </c>
      <c r="AK42" s="262" t="s">
        <v>621</v>
      </c>
      <c r="AL42" s="262" t="s">
        <v>621</v>
      </c>
      <c r="AM42" s="262" t="s">
        <v>621</v>
      </c>
      <c r="AN42" s="262" t="s">
        <v>621</v>
      </c>
      <c r="AO42" s="262" t="s">
        <v>621</v>
      </c>
      <c r="AP42" s="262" t="s">
        <v>621</v>
      </c>
      <c r="AQ42" s="262" t="s">
        <v>621</v>
      </c>
      <c r="AR42" s="262" t="s">
        <v>621</v>
      </c>
      <c r="AS42" s="262" t="s">
        <v>621</v>
      </c>
    </row>
    <row r="43" spans="1:45" s="347" customFormat="1" ht="246" hidden="1" x14ac:dyDescent="0.25">
      <c r="A43" s="316" t="s">
        <v>580</v>
      </c>
      <c r="B43" s="426" t="s">
        <v>694</v>
      </c>
      <c r="C43" s="262" t="s">
        <v>621</v>
      </c>
      <c r="D43" s="262" t="s">
        <v>621</v>
      </c>
      <c r="E43" s="262" t="s">
        <v>621</v>
      </c>
      <c r="F43" s="262" t="s">
        <v>621</v>
      </c>
      <c r="G43" s="262" t="s">
        <v>621</v>
      </c>
      <c r="H43" s="262" t="s">
        <v>621</v>
      </c>
      <c r="I43" s="262" t="s">
        <v>621</v>
      </c>
      <c r="J43" s="262" t="s">
        <v>621</v>
      </c>
      <c r="K43" s="262" t="s">
        <v>621</v>
      </c>
      <c r="L43" s="262" t="s">
        <v>621</v>
      </c>
      <c r="M43" s="262" t="s">
        <v>621</v>
      </c>
      <c r="N43" s="262" t="s">
        <v>621</v>
      </c>
      <c r="O43" s="262" t="s">
        <v>621</v>
      </c>
      <c r="P43" s="262" t="s">
        <v>621</v>
      </c>
      <c r="Q43" s="262" t="s">
        <v>621</v>
      </c>
      <c r="R43" s="262" t="s">
        <v>621</v>
      </c>
      <c r="S43" s="262" t="s">
        <v>621</v>
      </c>
      <c r="T43" s="262" t="s">
        <v>621</v>
      </c>
      <c r="U43" s="262" t="s">
        <v>621</v>
      </c>
      <c r="V43" s="262" t="s">
        <v>621</v>
      </c>
      <c r="W43" s="262" t="s">
        <v>621</v>
      </c>
      <c r="X43" s="262" t="s">
        <v>621</v>
      </c>
      <c r="Y43" s="262" t="s">
        <v>621</v>
      </c>
      <c r="Z43" s="262" t="s">
        <v>621</v>
      </c>
      <c r="AA43" s="262" t="s">
        <v>621</v>
      </c>
      <c r="AB43" s="262" t="s">
        <v>621</v>
      </c>
      <c r="AC43" s="262" t="s">
        <v>621</v>
      </c>
      <c r="AD43" s="262" t="s">
        <v>621</v>
      </c>
      <c r="AE43" s="262" t="s">
        <v>621</v>
      </c>
      <c r="AF43" s="262" t="s">
        <v>621</v>
      </c>
      <c r="AG43" s="262" t="s">
        <v>621</v>
      </c>
      <c r="AH43" s="262" t="s">
        <v>621</v>
      </c>
      <c r="AI43" s="262" t="s">
        <v>621</v>
      </c>
      <c r="AJ43" s="262" t="s">
        <v>621</v>
      </c>
      <c r="AK43" s="262" t="s">
        <v>621</v>
      </c>
      <c r="AL43" s="262" t="s">
        <v>621</v>
      </c>
      <c r="AM43" s="262" t="s">
        <v>621</v>
      </c>
      <c r="AN43" s="262" t="s">
        <v>621</v>
      </c>
      <c r="AO43" s="262" t="s">
        <v>621</v>
      </c>
      <c r="AP43" s="262" t="s">
        <v>621</v>
      </c>
      <c r="AQ43" s="262" t="s">
        <v>621</v>
      </c>
      <c r="AR43" s="262" t="s">
        <v>621</v>
      </c>
      <c r="AS43" s="262" t="s">
        <v>621</v>
      </c>
    </row>
    <row r="44" spans="1:45" s="347" customFormat="1" ht="224.25" hidden="1" customHeight="1" x14ac:dyDescent="0.25">
      <c r="A44" s="316" t="s">
        <v>581</v>
      </c>
      <c r="B44" s="427" t="s">
        <v>744</v>
      </c>
      <c r="C44" s="262" t="s">
        <v>621</v>
      </c>
      <c r="D44" s="262" t="s">
        <v>621</v>
      </c>
      <c r="E44" s="262" t="s">
        <v>621</v>
      </c>
      <c r="F44" s="262" t="s">
        <v>621</v>
      </c>
      <c r="G44" s="262" t="s">
        <v>621</v>
      </c>
      <c r="H44" s="262" t="s">
        <v>621</v>
      </c>
      <c r="I44" s="262" t="s">
        <v>621</v>
      </c>
      <c r="J44" s="262" t="s">
        <v>621</v>
      </c>
      <c r="K44" s="262" t="s">
        <v>621</v>
      </c>
      <c r="L44" s="262" t="s">
        <v>621</v>
      </c>
      <c r="M44" s="262" t="s">
        <v>621</v>
      </c>
      <c r="N44" s="262" t="s">
        <v>621</v>
      </c>
      <c r="O44" s="262" t="s">
        <v>621</v>
      </c>
      <c r="P44" s="262" t="s">
        <v>621</v>
      </c>
      <c r="Q44" s="262" t="s">
        <v>621</v>
      </c>
      <c r="R44" s="262" t="s">
        <v>621</v>
      </c>
      <c r="S44" s="262" t="s">
        <v>621</v>
      </c>
      <c r="T44" s="262" t="s">
        <v>621</v>
      </c>
      <c r="U44" s="262" t="s">
        <v>621</v>
      </c>
      <c r="V44" s="262" t="s">
        <v>621</v>
      </c>
      <c r="W44" s="262" t="s">
        <v>621</v>
      </c>
      <c r="X44" s="262" t="s">
        <v>621</v>
      </c>
      <c r="Y44" s="262" t="s">
        <v>621</v>
      </c>
      <c r="Z44" s="262" t="s">
        <v>621</v>
      </c>
      <c r="AA44" s="262" t="s">
        <v>621</v>
      </c>
      <c r="AB44" s="262" t="s">
        <v>621</v>
      </c>
      <c r="AC44" s="262" t="s">
        <v>621</v>
      </c>
      <c r="AD44" s="262" t="s">
        <v>621</v>
      </c>
      <c r="AE44" s="262" t="s">
        <v>621</v>
      </c>
      <c r="AF44" s="262" t="s">
        <v>621</v>
      </c>
      <c r="AG44" s="262" t="s">
        <v>621</v>
      </c>
      <c r="AH44" s="262" t="s">
        <v>621</v>
      </c>
      <c r="AI44" s="262" t="s">
        <v>621</v>
      </c>
      <c r="AJ44" s="262" t="s">
        <v>621</v>
      </c>
      <c r="AK44" s="262" t="s">
        <v>621</v>
      </c>
      <c r="AL44" s="262" t="s">
        <v>621</v>
      </c>
      <c r="AM44" s="262" t="s">
        <v>621</v>
      </c>
      <c r="AN44" s="262" t="s">
        <v>621</v>
      </c>
      <c r="AO44" s="262" t="s">
        <v>621</v>
      </c>
      <c r="AP44" s="262" t="s">
        <v>621</v>
      </c>
      <c r="AQ44" s="262" t="s">
        <v>621</v>
      </c>
      <c r="AR44" s="262" t="s">
        <v>621</v>
      </c>
      <c r="AS44" s="262" t="s">
        <v>621</v>
      </c>
    </row>
    <row r="45" spans="1:45" s="424" customFormat="1" ht="105.75" customHeight="1" x14ac:dyDescent="0.25">
      <c r="A45" s="428" t="s">
        <v>539</v>
      </c>
      <c r="B45" s="429" t="s">
        <v>695</v>
      </c>
      <c r="C45" s="264" t="s">
        <v>621</v>
      </c>
      <c r="D45" s="264" t="s">
        <v>621</v>
      </c>
      <c r="E45" s="264" t="s">
        <v>621</v>
      </c>
      <c r="F45" s="264" t="s">
        <v>621</v>
      </c>
      <c r="G45" s="264" t="s">
        <v>621</v>
      </c>
      <c r="H45" s="264" t="s">
        <v>621</v>
      </c>
      <c r="I45" s="264" t="s">
        <v>621</v>
      </c>
      <c r="J45" s="264">
        <v>1.6</v>
      </c>
      <c r="K45" s="264" t="s">
        <v>621</v>
      </c>
      <c r="L45" s="264">
        <v>28</v>
      </c>
      <c r="M45" s="264" t="s">
        <v>621</v>
      </c>
      <c r="N45" s="263">
        <f>N49</f>
        <v>5.8760000000000003</v>
      </c>
      <c r="O45" s="263">
        <f>O49</f>
        <v>4.6820000000000004</v>
      </c>
      <c r="P45" s="264" t="s">
        <v>621</v>
      </c>
      <c r="Q45" s="264" t="s">
        <v>621</v>
      </c>
      <c r="R45" s="264" t="s">
        <v>621</v>
      </c>
      <c r="S45" s="264" t="s">
        <v>621</v>
      </c>
      <c r="T45" s="264" t="s">
        <v>621</v>
      </c>
      <c r="U45" s="264" t="s">
        <v>621</v>
      </c>
      <c r="V45" s="264" t="s">
        <v>621</v>
      </c>
      <c r="W45" s="264" t="s">
        <v>621</v>
      </c>
      <c r="X45" s="264" t="s">
        <v>621</v>
      </c>
      <c r="Y45" s="264" t="s">
        <v>621</v>
      </c>
      <c r="Z45" s="264" t="s">
        <v>621</v>
      </c>
      <c r="AA45" s="264" t="s">
        <v>621</v>
      </c>
      <c r="AB45" s="264" t="s">
        <v>621</v>
      </c>
      <c r="AC45" s="264" t="s">
        <v>621</v>
      </c>
      <c r="AD45" s="264" t="s">
        <v>621</v>
      </c>
      <c r="AE45" s="264" t="s">
        <v>621</v>
      </c>
      <c r="AF45" s="264" t="s">
        <v>621</v>
      </c>
      <c r="AG45" s="264" t="s">
        <v>621</v>
      </c>
      <c r="AH45" s="264" t="s">
        <v>621</v>
      </c>
      <c r="AI45" s="264" t="s">
        <v>621</v>
      </c>
      <c r="AJ45" s="264" t="s">
        <v>621</v>
      </c>
      <c r="AK45" s="264" t="s">
        <v>621</v>
      </c>
      <c r="AL45" s="264" t="s">
        <v>621</v>
      </c>
      <c r="AM45" s="264" t="s">
        <v>621</v>
      </c>
      <c r="AN45" s="264" t="s">
        <v>621</v>
      </c>
      <c r="AO45" s="264" t="s">
        <v>621</v>
      </c>
      <c r="AP45" s="264" t="s">
        <v>621</v>
      </c>
      <c r="AQ45" s="264" t="s">
        <v>621</v>
      </c>
      <c r="AR45" s="264" t="s">
        <v>621</v>
      </c>
      <c r="AS45" s="264" t="s">
        <v>621</v>
      </c>
    </row>
    <row r="46" spans="1:45" s="347" customFormat="1" ht="224.25" hidden="1" customHeight="1" x14ac:dyDescent="0.25">
      <c r="A46" s="316" t="s">
        <v>544</v>
      </c>
      <c r="B46" s="426" t="s">
        <v>696</v>
      </c>
      <c r="C46" s="262" t="s">
        <v>621</v>
      </c>
      <c r="D46" s="262" t="s">
        <v>621</v>
      </c>
      <c r="E46" s="262" t="s">
        <v>621</v>
      </c>
      <c r="F46" s="262" t="s">
        <v>621</v>
      </c>
      <c r="G46" s="262" t="s">
        <v>621</v>
      </c>
      <c r="H46" s="262" t="s">
        <v>621</v>
      </c>
      <c r="I46" s="262" t="s">
        <v>621</v>
      </c>
      <c r="J46" s="262" t="s">
        <v>621</v>
      </c>
      <c r="K46" s="262" t="s">
        <v>621</v>
      </c>
      <c r="L46" s="262" t="s">
        <v>621</v>
      </c>
      <c r="M46" s="262" t="s">
        <v>621</v>
      </c>
      <c r="N46" s="256">
        <v>1.3</v>
      </c>
      <c r="O46" s="262">
        <v>1.3</v>
      </c>
      <c r="P46" s="262" t="s">
        <v>621</v>
      </c>
      <c r="Q46" s="262" t="s">
        <v>621</v>
      </c>
      <c r="R46" s="262" t="s">
        <v>621</v>
      </c>
      <c r="S46" s="262" t="s">
        <v>621</v>
      </c>
      <c r="T46" s="262" t="s">
        <v>621</v>
      </c>
      <c r="U46" s="262" t="s">
        <v>621</v>
      </c>
      <c r="V46" s="262" t="s">
        <v>621</v>
      </c>
      <c r="W46" s="262" t="s">
        <v>621</v>
      </c>
      <c r="X46" s="262" t="s">
        <v>621</v>
      </c>
      <c r="Y46" s="262" t="s">
        <v>621</v>
      </c>
      <c r="Z46" s="262" t="s">
        <v>621</v>
      </c>
      <c r="AA46" s="262" t="s">
        <v>621</v>
      </c>
      <c r="AB46" s="262" t="s">
        <v>621</v>
      </c>
      <c r="AC46" s="262" t="s">
        <v>621</v>
      </c>
      <c r="AD46" s="262" t="s">
        <v>621</v>
      </c>
      <c r="AE46" s="262" t="s">
        <v>621</v>
      </c>
      <c r="AF46" s="262" t="s">
        <v>621</v>
      </c>
      <c r="AG46" s="262" t="s">
        <v>621</v>
      </c>
      <c r="AH46" s="262" t="s">
        <v>621</v>
      </c>
      <c r="AI46" s="262" t="s">
        <v>621</v>
      </c>
      <c r="AJ46" s="262" t="s">
        <v>621</v>
      </c>
      <c r="AK46" s="262" t="s">
        <v>621</v>
      </c>
      <c r="AL46" s="262" t="s">
        <v>621</v>
      </c>
      <c r="AM46" s="262" t="s">
        <v>621</v>
      </c>
      <c r="AN46" s="262" t="s">
        <v>621</v>
      </c>
      <c r="AO46" s="262" t="s">
        <v>621</v>
      </c>
      <c r="AP46" s="262" t="s">
        <v>621</v>
      </c>
      <c r="AQ46" s="262" t="s">
        <v>621</v>
      </c>
      <c r="AR46" s="262" t="s">
        <v>621</v>
      </c>
      <c r="AS46" s="262" t="s">
        <v>621</v>
      </c>
    </row>
    <row r="47" spans="1:45" s="347" customFormat="1" ht="153.75" hidden="1" x14ac:dyDescent="0.25">
      <c r="A47" s="316" t="s">
        <v>591</v>
      </c>
      <c r="B47" s="426" t="s">
        <v>745</v>
      </c>
      <c r="C47" s="262" t="s">
        <v>621</v>
      </c>
      <c r="D47" s="262" t="s">
        <v>621</v>
      </c>
      <c r="E47" s="262" t="s">
        <v>621</v>
      </c>
      <c r="F47" s="262" t="s">
        <v>621</v>
      </c>
      <c r="G47" s="262" t="s">
        <v>621</v>
      </c>
      <c r="H47" s="262" t="s">
        <v>621</v>
      </c>
      <c r="I47" s="262" t="s">
        <v>621</v>
      </c>
      <c r="J47" s="262" t="s">
        <v>621</v>
      </c>
      <c r="K47" s="262" t="s">
        <v>621</v>
      </c>
      <c r="L47" s="262" t="s">
        <v>621</v>
      </c>
      <c r="M47" s="262" t="s">
        <v>621</v>
      </c>
      <c r="N47" s="256">
        <v>1.3</v>
      </c>
      <c r="O47" s="262">
        <v>1.3</v>
      </c>
      <c r="P47" s="262" t="s">
        <v>621</v>
      </c>
      <c r="Q47" s="262" t="s">
        <v>621</v>
      </c>
      <c r="R47" s="262" t="s">
        <v>621</v>
      </c>
      <c r="S47" s="262" t="s">
        <v>621</v>
      </c>
      <c r="T47" s="262" t="s">
        <v>621</v>
      </c>
      <c r="U47" s="262" t="s">
        <v>621</v>
      </c>
      <c r="V47" s="262" t="s">
        <v>621</v>
      </c>
      <c r="W47" s="262" t="s">
        <v>621</v>
      </c>
      <c r="X47" s="262" t="s">
        <v>621</v>
      </c>
      <c r="Y47" s="262" t="s">
        <v>621</v>
      </c>
      <c r="Z47" s="262" t="s">
        <v>621</v>
      </c>
      <c r="AA47" s="262" t="s">
        <v>621</v>
      </c>
      <c r="AB47" s="262" t="s">
        <v>621</v>
      </c>
      <c r="AC47" s="262" t="s">
        <v>621</v>
      </c>
      <c r="AD47" s="262" t="s">
        <v>621</v>
      </c>
      <c r="AE47" s="262" t="s">
        <v>621</v>
      </c>
      <c r="AF47" s="262" t="s">
        <v>621</v>
      </c>
      <c r="AG47" s="262" t="s">
        <v>621</v>
      </c>
      <c r="AH47" s="262" t="s">
        <v>621</v>
      </c>
      <c r="AI47" s="262" t="s">
        <v>621</v>
      </c>
      <c r="AJ47" s="262" t="s">
        <v>621</v>
      </c>
      <c r="AK47" s="262" t="s">
        <v>621</v>
      </c>
      <c r="AL47" s="262" t="s">
        <v>621</v>
      </c>
      <c r="AM47" s="262" t="s">
        <v>621</v>
      </c>
      <c r="AN47" s="262" t="s">
        <v>621</v>
      </c>
      <c r="AO47" s="262" t="s">
        <v>621</v>
      </c>
      <c r="AP47" s="262" t="s">
        <v>621</v>
      </c>
      <c r="AQ47" s="262" t="s">
        <v>621</v>
      </c>
      <c r="AR47" s="262" t="s">
        <v>621</v>
      </c>
      <c r="AS47" s="262" t="s">
        <v>621</v>
      </c>
    </row>
    <row r="48" spans="1:45" s="347" customFormat="1" ht="1.5" hidden="1" customHeight="1" x14ac:dyDescent="0.25">
      <c r="A48" s="316" t="s">
        <v>592</v>
      </c>
      <c r="B48" s="426" t="s">
        <v>737</v>
      </c>
      <c r="C48" s="262" t="s">
        <v>621</v>
      </c>
      <c r="D48" s="262" t="s">
        <v>621</v>
      </c>
      <c r="E48" s="262" t="s">
        <v>621</v>
      </c>
      <c r="F48" s="262" t="s">
        <v>621</v>
      </c>
      <c r="G48" s="262" t="s">
        <v>621</v>
      </c>
      <c r="H48" s="262" t="s">
        <v>621</v>
      </c>
      <c r="I48" s="262" t="s">
        <v>621</v>
      </c>
      <c r="J48" s="262" t="s">
        <v>621</v>
      </c>
      <c r="K48" s="262" t="s">
        <v>621</v>
      </c>
      <c r="L48" s="262" t="s">
        <v>621</v>
      </c>
      <c r="M48" s="262" t="s">
        <v>621</v>
      </c>
      <c r="N48" s="256">
        <v>1.3</v>
      </c>
      <c r="O48" s="262">
        <v>1.3</v>
      </c>
      <c r="P48" s="262" t="s">
        <v>621</v>
      </c>
      <c r="Q48" s="262" t="s">
        <v>621</v>
      </c>
      <c r="R48" s="262" t="s">
        <v>621</v>
      </c>
      <c r="S48" s="262" t="s">
        <v>621</v>
      </c>
      <c r="T48" s="262" t="s">
        <v>621</v>
      </c>
      <c r="U48" s="262" t="s">
        <v>621</v>
      </c>
      <c r="V48" s="262" t="s">
        <v>621</v>
      </c>
      <c r="W48" s="262" t="s">
        <v>621</v>
      </c>
      <c r="X48" s="262" t="s">
        <v>621</v>
      </c>
      <c r="Y48" s="262" t="s">
        <v>621</v>
      </c>
      <c r="Z48" s="262" t="s">
        <v>621</v>
      </c>
      <c r="AA48" s="262" t="s">
        <v>621</v>
      </c>
      <c r="AB48" s="262" t="s">
        <v>621</v>
      </c>
      <c r="AC48" s="262" t="s">
        <v>621</v>
      </c>
      <c r="AD48" s="262" t="s">
        <v>621</v>
      </c>
      <c r="AE48" s="262" t="s">
        <v>621</v>
      </c>
      <c r="AF48" s="262" t="s">
        <v>621</v>
      </c>
      <c r="AG48" s="262" t="s">
        <v>621</v>
      </c>
      <c r="AH48" s="262" t="s">
        <v>621</v>
      </c>
      <c r="AI48" s="262" t="s">
        <v>621</v>
      </c>
      <c r="AJ48" s="262" t="s">
        <v>621</v>
      </c>
      <c r="AK48" s="262" t="s">
        <v>621</v>
      </c>
      <c r="AL48" s="262" t="s">
        <v>621</v>
      </c>
      <c r="AM48" s="262" t="s">
        <v>621</v>
      </c>
      <c r="AN48" s="262" t="s">
        <v>621</v>
      </c>
      <c r="AO48" s="262" t="s">
        <v>621</v>
      </c>
      <c r="AP48" s="262" t="s">
        <v>621</v>
      </c>
      <c r="AQ48" s="262" t="s">
        <v>621</v>
      </c>
      <c r="AR48" s="262" t="s">
        <v>621</v>
      </c>
      <c r="AS48" s="262" t="s">
        <v>621</v>
      </c>
    </row>
    <row r="49" spans="1:45" s="432" customFormat="1" ht="124.5" customHeight="1" x14ac:dyDescent="0.25">
      <c r="A49" s="270" t="s">
        <v>545</v>
      </c>
      <c r="B49" s="430" t="s">
        <v>697</v>
      </c>
      <c r="C49" s="431" t="s">
        <v>621</v>
      </c>
      <c r="D49" s="431" t="s">
        <v>621</v>
      </c>
      <c r="E49" s="431" t="s">
        <v>621</v>
      </c>
      <c r="F49" s="431" t="s">
        <v>621</v>
      </c>
      <c r="G49" s="431" t="s">
        <v>621</v>
      </c>
      <c r="H49" s="431" t="s">
        <v>621</v>
      </c>
      <c r="I49" s="431" t="s">
        <v>621</v>
      </c>
      <c r="J49" s="431" t="s">
        <v>621</v>
      </c>
      <c r="K49" s="431" t="s">
        <v>621</v>
      </c>
      <c r="L49" s="431" t="s">
        <v>621</v>
      </c>
      <c r="M49" s="431" t="s">
        <v>621</v>
      </c>
      <c r="N49" s="356">
        <f>N50</f>
        <v>5.8760000000000003</v>
      </c>
      <c r="O49" s="356">
        <f>O50</f>
        <v>4.6820000000000004</v>
      </c>
      <c r="P49" s="431" t="s">
        <v>621</v>
      </c>
      <c r="Q49" s="431" t="s">
        <v>621</v>
      </c>
      <c r="R49" s="431" t="s">
        <v>621</v>
      </c>
      <c r="S49" s="431" t="s">
        <v>621</v>
      </c>
      <c r="T49" s="431" t="s">
        <v>621</v>
      </c>
      <c r="U49" s="431" t="s">
        <v>621</v>
      </c>
      <c r="V49" s="431" t="s">
        <v>621</v>
      </c>
      <c r="W49" s="431" t="s">
        <v>621</v>
      </c>
      <c r="X49" s="431" t="s">
        <v>621</v>
      </c>
      <c r="Y49" s="431" t="s">
        <v>621</v>
      </c>
      <c r="Z49" s="431" t="s">
        <v>621</v>
      </c>
      <c r="AA49" s="431" t="s">
        <v>621</v>
      </c>
      <c r="AB49" s="431" t="s">
        <v>621</v>
      </c>
      <c r="AC49" s="431" t="s">
        <v>621</v>
      </c>
      <c r="AD49" s="431" t="s">
        <v>621</v>
      </c>
      <c r="AE49" s="431" t="s">
        <v>621</v>
      </c>
      <c r="AF49" s="431" t="s">
        <v>621</v>
      </c>
      <c r="AG49" s="431" t="s">
        <v>621</v>
      </c>
      <c r="AH49" s="431" t="s">
        <v>621</v>
      </c>
      <c r="AI49" s="431" t="s">
        <v>621</v>
      </c>
      <c r="AJ49" s="431" t="s">
        <v>621</v>
      </c>
      <c r="AK49" s="431" t="s">
        <v>621</v>
      </c>
      <c r="AL49" s="431" t="s">
        <v>621</v>
      </c>
      <c r="AM49" s="431" t="s">
        <v>621</v>
      </c>
      <c r="AN49" s="431" t="s">
        <v>621</v>
      </c>
      <c r="AO49" s="431" t="s">
        <v>621</v>
      </c>
      <c r="AP49" s="431" t="s">
        <v>621</v>
      </c>
      <c r="AQ49" s="431" t="s">
        <v>621</v>
      </c>
      <c r="AR49" s="431" t="s">
        <v>621</v>
      </c>
      <c r="AS49" s="431" t="s">
        <v>621</v>
      </c>
    </row>
    <row r="50" spans="1:45" s="432" customFormat="1" ht="93.75" customHeight="1" x14ac:dyDescent="0.25">
      <c r="A50" s="270" t="s">
        <v>595</v>
      </c>
      <c r="B50" s="430" t="s">
        <v>746</v>
      </c>
      <c r="C50" s="431" t="s">
        <v>621</v>
      </c>
      <c r="D50" s="431" t="s">
        <v>621</v>
      </c>
      <c r="E50" s="431" t="s">
        <v>621</v>
      </c>
      <c r="F50" s="431" t="s">
        <v>621</v>
      </c>
      <c r="G50" s="431" t="s">
        <v>621</v>
      </c>
      <c r="H50" s="431" t="s">
        <v>621</v>
      </c>
      <c r="I50" s="431" t="s">
        <v>621</v>
      </c>
      <c r="J50" s="431" t="s">
        <v>621</v>
      </c>
      <c r="K50" s="431" t="s">
        <v>621</v>
      </c>
      <c r="L50" s="431" t="s">
        <v>621</v>
      </c>
      <c r="M50" s="431" t="s">
        <v>621</v>
      </c>
      <c r="N50" s="356">
        <f>N51+N52+N53</f>
        <v>5.8760000000000003</v>
      </c>
      <c r="O50" s="356">
        <f>SUM(O51:O53)</f>
        <v>4.6820000000000004</v>
      </c>
      <c r="P50" s="431" t="s">
        <v>621</v>
      </c>
      <c r="Q50" s="431" t="s">
        <v>621</v>
      </c>
      <c r="R50" s="431" t="s">
        <v>621</v>
      </c>
      <c r="S50" s="431" t="s">
        <v>621</v>
      </c>
      <c r="T50" s="431" t="s">
        <v>621</v>
      </c>
      <c r="U50" s="431" t="s">
        <v>621</v>
      </c>
      <c r="V50" s="431" t="s">
        <v>621</v>
      </c>
      <c r="W50" s="431" t="s">
        <v>621</v>
      </c>
      <c r="X50" s="431" t="s">
        <v>621</v>
      </c>
      <c r="Y50" s="431" t="s">
        <v>621</v>
      </c>
      <c r="Z50" s="431" t="s">
        <v>621</v>
      </c>
      <c r="AA50" s="431" t="s">
        <v>621</v>
      </c>
      <c r="AB50" s="431" t="s">
        <v>621</v>
      </c>
      <c r="AC50" s="431" t="s">
        <v>621</v>
      </c>
      <c r="AD50" s="431" t="s">
        <v>621</v>
      </c>
      <c r="AE50" s="431" t="s">
        <v>621</v>
      </c>
      <c r="AF50" s="431" t="s">
        <v>621</v>
      </c>
      <c r="AG50" s="431" t="s">
        <v>621</v>
      </c>
      <c r="AH50" s="431" t="s">
        <v>621</v>
      </c>
      <c r="AI50" s="431" t="s">
        <v>621</v>
      </c>
      <c r="AJ50" s="431" t="s">
        <v>621</v>
      </c>
      <c r="AK50" s="431" t="s">
        <v>621</v>
      </c>
      <c r="AL50" s="431" t="s">
        <v>621</v>
      </c>
      <c r="AM50" s="431" t="s">
        <v>621</v>
      </c>
      <c r="AN50" s="431" t="s">
        <v>621</v>
      </c>
      <c r="AO50" s="431" t="s">
        <v>621</v>
      </c>
      <c r="AP50" s="431" t="s">
        <v>621</v>
      </c>
      <c r="AQ50" s="431" t="s">
        <v>621</v>
      </c>
      <c r="AR50" s="431" t="s">
        <v>621</v>
      </c>
      <c r="AS50" s="431" t="s">
        <v>621</v>
      </c>
    </row>
    <row r="51" spans="1:45" s="432" customFormat="1" ht="96.75" customHeight="1" x14ac:dyDescent="0.25">
      <c r="A51" s="316" t="s">
        <v>814</v>
      </c>
      <c r="B51" s="426" t="s">
        <v>815</v>
      </c>
      <c r="C51" s="262" t="str">
        <f>CONCATENATE("J","_",2020,"_",A51)</f>
        <v>J_2020_1.2.2.1.1</v>
      </c>
      <c r="D51" s="262" t="s">
        <v>621</v>
      </c>
      <c r="E51" s="262" t="s">
        <v>621</v>
      </c>
      <c r="F51" s="262" t="s">
        <v>621</v>
      </c>
      <c r="G51" s="262" t="s">
        <v>621</v>
      </c>
      <c r="H51" s="262" t="s">
        <v>621</v>
      </c>
      <c r="I51" s="262" t="s">
        <v>621</v>
      </c>
      <c r="J51" s="262" t="s">
        <v>621</v>
      </c>
      <c r="K51" s="262" t="s">
        <v>621</v>
      </c>
      <c r="L51" s="262" t="s">
        <v>621</v>
      </c>
      <c r="M51" s="262" t="s">
        <v>621</v>
      </c>
      <c r="N51" s="256">
        <v>1.3</v>
      </c>
      <c r="O51" s="262">
        <v>1.3</v>
      </c>
      <c r="P51" s="262" t="s">
        <v>621</v>
      </c>
      <c r="Q51" s="262" t="s">
        <v>621</v>
      </c>
      <c r="R51" s="262" t="s">
        <v>621</v>
      </c>
      <c r="S51" s="262" t="s">
        <v>621</v>
      </c>
      <c r="T51" s="262" t="s">
        <v>621</v>
      </c>
      <c r="U51" s="262" t="s">
        <v>621</v>
      </c>
      <c r="V51" s="262" t="s">
        <v>621</v>
      </c>
      <c r="W51" s="262" t="s">
        <v>621</v>
      </c>
      <c r="X51" s="262" t="s">
        <v>621</v>
      </c>
      <c r="Y51" s="262" t="s">
        <v>621</v>
      </c>
      <c r="Z51" s="262" t="s">
        <v>621</v>
      </c>
      <c r="AA51" s="262" t="s">
        <v>621</v>
      </c>
      <c r="AB51" s="262" t="s">
        <v>621</v>
      </c>
      <c r="AC51" s="262" t="s">
        <v>621</v>
      </c>
      <c r="AD51" s="262" t="s">
        <v>621</v>
      </c>
      <c r="AE51" s="262" t="s">
        <v>621</v>
      </c>
      <c r="AF51" s="262" t="s">
        <v>621</v>
      </c>
      <c r="AG51" s="262" t="s">
        <v>621</v>
      </c>
      <c r="AH51" s="262" t="s">
        <v>621</v>
      </c>
      <c r="AI51" s="262" t="s">
        <v>621</v>
      </c>
      <c r="AJ51" s="262" t="s">
        <v>621</v>
      </c>
      <c r="AK51" s="262" t="s">
        <v>621</v>
      </c>
      <c r="AL51" s="262" t="s">
        <v>621</v>
      </c>
      <c r="AM51" s="262" t="s">
        <v>621</v>
      </c>
      <c r="AN51" s="262" t="s">
        <v>621</v>
      </c>
      <c r="AO51" s="262" t="s">
        <v>621</v>
      </c>
      <c r="AP51" s="262" t="s">
        <v>621</v>
      </c>
      <c r="AQ51" s="262" t="s">
        <v>621</v>
      </c>
      <c r="AR51" s="262" t="s">
        <v>621</v>
      </c>
      <c r="AS51" s="262" t="s">
        <v>621</v>
      </c>
    </row>
    <row r="52" spans="1:45" s="432" customFormat="1" ht="114" customHeight="1" x14ac:dyDescent="0.25">
      <c r="A52" s="316" t="s">
        <v>813</v>
      </c>
      <c r="B52" s="426" t="s">
        <v>859</v>
      </c>
      <c r="C52" s="262" t="str">
        <f>CONCATENATE("J","_",2020,"_",A52)</f>
        <v>J_2020_1.2.2.1.2</v>
      </c>
      <c r="D52" s="262" t="s">
        <v>621</v>
      </c>
      <c r="E52" s="262" t="s">
        <v>621</v>
      </c>
      <c r="F52" s="262" t="s">
        <v>621</v>
      </c>
      <c r="G52" s="262" t="s">
        <v>621</v>
      </c>
      <c r="H52" s="262" t="s">
        <v>621</v>
      </c>
      <c r="I52" s="262" t="s">
        <v>621</v>
      </c>
      <c r="J52" s="262" t="s">
        <v>621</v>
      </c>
      <c r="K52" s="262" t="s">
        <v>621</v>
      </c>
      <c r="L52" s="262" t="s">
        <v>621</v>
      </c>
      <c r="M52" s="262" t="s">
        <v>621</v>
      </c>
      <c r="N52" s="256">
        <v>0.45300000000000001</v>
      </c>
      <c r="O52" s="262">
        <v>0.45300000000000001</v>
      </c>
      <c r="P52" s="262" t="s">
        <v>621</v>
      </c>
      <c r="Q52" s="262" t="s">
        <v>621</v>
      </c>
      <c r="R52" s="262" t="s">
        <v>621</v>
      </c>
      <c r="S52" s="262" t="s">
        <v>621</v>
      </c>
      <c r="T52" s="262" t="s">
        <v>621</v>
      </c>
      <c r="U52" s="262" t="s">
        <v>621</v>
      </c>
      <c r="V52" s="262" t="s">
        <v>621</v>
      </c>
      <c r="W52" s="262" t="s">
        <v>621</v>
      </c>
      <c r="X52" s="262" t="s">
        <v>621</v>
      </c>
      <c r="Y52" s="262" t="s">
        <v>621</v>
      </c>
      <c r="Z52" s="262" t="s">
        <v>621</v>
      </c>
      <c r="AA52" s="262" t="s">
        <v>621</v>
      </c>
      <c r="AB52" s="262" t="s">
        <v>621</v>
      </c>
      <c r="AC52" s="262" t="s">
        <v>621</v>
      </c>
      <c r="AD52" s="262" t="s">
        <v>621</v>
      </c>
      <c r="AE52" s="262" t="s">
        <v>621</v>
      </c>
      <c r="AF52" s="262" t="s">
        <v>621</v>
      </c>
      <c r="AG52" s="262" t="s">
        <v>621</v>
      </c>
      <c r="AH52" s="262" t="s">
        <v>621</v>
      </c>
      <c r="AI52" s="262" t="s">
        <v>621</v>
      </c>
      <c r="AJ52" s="262" t="s">
        <v>621</v>
      </c>
      <c r="AK52" s="262" t="s">
        <v>621</v>
      </c>
      <c r="AL52" s="262" t="s">
        <v>621</v>
      </c>
      <c r="AM52" s="262" t="s">
        <v>621</v>
      </c>
      <c r="AN52" s="262" t="s">
        <v>621</v>
      </c>
      <c r="AO52" s="262" t="s">
        <v>621</v>
      </c>
      <c r="AP52" s="262" t="s">
        <v>621</v>
      </c>
      <c r="AQ52" s="262" t="s">
        <v>621</v>
      </c>
      <c r="AR52" s="262" t="s">
        <v>621</v>
      </c>
      <c r="AS52" s="262" t="s">
        <v>621</v>
      </c>
    </row>
    <row r="53" spans="1:45" s="432" customFormat="1" ht="219.75" customHeight="1" x14ac:dyDescent="0.25">
      <c r="A53" s="316" t="s">
        <v>817</v>
      </c>
      <c r="B53" s="426" t="s">
        <v>934</v>
      </c>
      <c r="C53" s="262" t="str">
        <f>CONCATENATE("J","_",2020,"_",A53)</f>
        <v>J_2020_1.2.2.1.3</v>
      </c>
      <c r="D53" s="262" t="s">
        <v>621</v>
      </c>
      <c r="E53" s="262" t="s">
        <v>621</v>
      </c>
      <c r="F53" s="262" t="s">
        <v>621</v>
      </c>
      <c r="G53" s="262" t="s">
        <v>621</v>
      </c>
      <c r="H53" s="262" t="s">
        <v>621</v>
      </c>
      <c r="I53" s="262" t="s">
        <v>621</v>
      </c>
      <c r="J53" s="262" t="s">
        <v>621</v>
      </c>
      <c r="K53" s="262" t="s">
        <v>621</v>
      </c>
      <c r="L53" s="262" t="s">
        <v>621</v>
      </c>
      <c r="M53" s="262" t="s">
        <v>621</v>
      </c>
      <c r="N53" s="256">
        <v>4.1230000000000002</v>
      </c>
      <c r="O53" s="262">
        <v>2.9289999999999998</v>
      </c>
      <c r="P53" s="262" t="s">
        <v>621</v>
      </c>
      <c r="Q53" s="262" t="s">
        <v>621</v>
      </c>
      <c r="R53" s="262" t="s">
        <v>621</v>
      </c>
      <c r="S53" s="262" t="s">
        <v>621</v>
      </c>
      <c r="T53" s="262" t="s">
        <v>621</v>
      </c>
      <c r="U53" s="262" t="s">
        <v>621</v>
      </c>
      <c r="V53" s="262" t="s">
        <v>621</v>
      </c>
      <c r="W53" s="262" t="s">
        <v>621</v>
      </c>
      <c r="X53" s="262" t="s">
        <v>621</v>
      </c>
      <c r="Y53" s="262" t="s">
        <v>621</v>
      </c>
      <c r="Z53" s="262" t="s">
        <v>621</v>
      </c>
      <c r="AA53" s="262" t="s">
        <v>621</v>
      </c>
      <c r="AB53" s="262" t="s">
        <v>621</v>
      </c>
      <c r="AC53" s="262" t="s">
        <v>621</v>
      </c>
      <c r="AD53" s="262" t="s">
        <v>621</v>
      </c>
      <c r="AE53" s="262" t="s">
        <v>621</v>
      </c>
      <c r="AF53" s="262" t="s">
        <v>621</v>
      </c>
      <c r="AG53" s="262" t="s">
        <v>621</v>
      </c>
      <c r="AH53" s="262" t="s">
        <v>621</v>
      </c>
      <c r="AI53" s="262" t="s">
        <v>621</v>
      </c>
      <c r="AJ53" s="262" t="s">
        <v>621</v>
      </c>
      <c r="AK53" s="262" t="s">
        <v>621</v>
      </c>
      <c r="AL53" s="262" t="s">
        <v>621</v>
      </c>
      <c r="AM53" s="262" t="s">
        <v>621</v>
      </c>
      <c r="AN53" s="262" t="s">
        <v>621</v>
      </c>
      <c r="AO53" s="262" t="s">
        <v>621</v>
      </c>
      <c r="AP53" s="262" t="s">
        <v>621</v>
      </c>
      <c r="AQ53" s="262" t="s">
        <v>621</v>
      </c>
      <c r="AR53" s="262" t="s">
        <v>621</v>
      </c>
      <c r="AS53" s="262" t="s">
        <v>621</v>
      </c>
    </row>
    <row r="54" spans="1:45" s="347" customFormat="1" ht="123" hidden="1" x14ac:dyDescent="0.25">
      <c r="A54" s="316" t="s">
        <v>596</v>
      </c>
      <c r="B54" s="426" t="s">
        <v>738</v>
      </c>
      <c r="C54" s="433" t="s">
        <v>621</v>
      </c>
      <c r="D54" s="433" t="s">
        <v>621</v>
      </c>
      <c r="E54" s="433" t="s">
        <v>621</v>
      </c>
      <c r="F54" s="433" t="s">
        <v>621</v>
      </c>
      <c r="G54" s="433" t="s">
        <v>621</v>
      </c>
      <c r="H54" s="433" t="s">
        <v>621</v>
      </c>
      <c r="I54" s="433" t="s">
        <v>621</v>
      </c>
      <c r="J54" s="433" t="s">
        <v>621</v>
      </c>
      <c r="K54" s="433" t="s">
        <v>621</v>
      </c>
      <c r="L54" s="433" t="s">
        <v>621</v>
      </c>
      <c r="M54" s="433" t="s">
        <v>621</v>
      </c>
      <c r="N54" s="433" t="s">
        <v>621</v>
      </c>
      <c r="O54" s="433" t="s">
        <v>621</v>
      </c>
      <c r="P54" s="433" t="s">
        <v>621</v>
      </c>
      <c r="Q54" s="433" t="s">
        <v>621</v>
      </c>
      <c r="R54" s="433" t="s">
        <v>621</v>
      </c>
      <c r="S54" s="433" t="s">
        <v>621</v>
      </c>
      <c r="T54" s="433" t="s">
        <v>621</v>
      </c>
      <c r="U54" s="433" t="s">
        <v>621</v>
      </c>
      <c r="V54" s="433" t="s">
        <v>621</v>
      </c>
      <c r="W54" s="433" t="s">
        <v>621</v>
      </c>
      <c r="X54" s="433" t="s">
        <v>621</v>
      </c>
      <c r="Y54" s="433" t="s">
        <v>621</v>
      </c>
      <c r="Z54" s="433" t="s">
        <v>621</v>
      </c>
      <c r="AA54" s="433" t="s">
        <v>621</v>
      </c>
      <c r="AB54" s="433" t="s">
        <v>621</v>
      </c>
      <c r="AC54" s="433" t="s">
        <v>621</v>
      </c>
      <c r="AD54" s="433" t="s">
        <v>621</v>
      </c>
      <c r="AE54" s="433" t="s">
        <v>621</v>
      </c>
      <c r="AF54" s="433" t="s">
        <v>621</v>
      </c>
      <c r="AG54" s="433" t="s">
        <v>621</v>
      </c>
      <c r="AH54" s="433" t="s">
        <v>621</v>
      </c>
      <c r="AI54" s="433" t="s">
        <v>621</v>
      </c>
      <c r="AJ54" s="433" t="s">
        <v>621</v>
      </c>
      <c r="AK54" s="433" t="s">
        <v>621</v>
      </c>
      <c r="AL54" s="433" t="s">
        <v>621</v>
      </c>
      <c r="AM54" s="433" t="s">
        <v>621</v>
      </c>
      <c r="AN54" s="433" t="s">
        <v>621</v>
      </c>
      <c r="AO54" s="433" t="s">
        <v>621</v>
      </c>
      <c r="AP54" s="433" t="s">
        <v>621</v>
      </c>
      <c r="AQ54" s="433" t="s">
        <v>621</v>
      </c>
      <c r="AR54" s="433" t="s">
        <v>621</v>
      </c>
      <c r="AS54" s="433" t="s">
        <v>621</v>
      </c>
    </row>
    <row r="55" spans="1:45" s="347" customFormat="1" ht="123" hidden="1" x14ac:dyDescent="0.25">
      <c r="A55" s="270" t="s">
        <v>546</v>
      </c>
      <c r="B55" s="430" t="s">
        <v>739</v>
      </c>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row>
    <row r="56" spans="1:45" s="347" customFormat="1" ht="92.25" hidden="1" x14ac:dyDescent="0.25">
      <c r="A56" s="316" t="s">
        <v>599</v>
      </c>
      <c r="B56" s="426" t="s">
        <v>740</v>
      </c>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row>
    <row r="57" spans="1:45" s="347" customFormat="1" ht="92.25" hidden="1" x14ac:dyDescent="0.25">
      <c r="A57" s="316" t="s">
        <v>600</v>
      </c>
      <c r="B57" s="426" t="s">
        <v>698</v>
      </c>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row>
    <row r="58" spans="1:45" s="347" customFormat="1" ht="92.25" hidden="1" x14ac:dyDescent="0.25">
      <c r="A58" s="316" t="s">
        <v>601</v>
      </c>
      <c r="B58" s="426" t="s">
        <v>699</v>
      </c>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row>
    <row r="59" spans="1:45" s="347" customFormat="1" ht="92.25" hidden="1" x14ac:dyDescent="0.25">
      <c r="A59" s="316" t="s">
        <v>602</v>
      </c>
      <c r="B59" s="426" t="s">
        <v>700</v>
      </c>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row>
    <row r="60" spans="1:45" s="347" customFormat="1" ht="153.75" hidden="1" x14ac:dyDescent="0.25">
      <c r="A60" s="316" t="s">
        <v>718</v>
      </c>
      <c r="B60" s="426" t="s">
        <v>701</v>
      </c>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row>
    <row r="61" spans="1:45" s="347" customFormat="1" ht="123" hidden="1" x14ac:dyDescent="0.25">
      <c r="A61" s="316" t="s">
        <v>719</v>
      </c>
      <c r="B61" s="426" t="s">
        <v>702</v>
      </c>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row>
    <row r="62" spans="1:45" s="347" customFormat="1" ht="123" hidden="1" x14ac:dyDescent="0.25">
      <c r="A62" s="316" t="s">
        <v>720</v>
      </c>
      <c r="B62" s="426" t="s">
        <v>703</v>
      </c>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row>
    <row r="63" spans="1:45" s="347" customFormat="1" ht="153.75" hidden="1" x14ac:dyDescent="0.25">
      <c r="A63" s="316" t="s">
        <v>721</v>
      </c>
      <c r="B63" s="426" t="s">
        <v>704</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row>
    <row r="64" spans="1:45" s="347" customFormat="1" ht="121.5" customHeight="1" x14ac:dyDescent="0.25">
      <c r="A64" s="270" t="s">
        <v>547</v>
      </c>
      <c r="B64" s="430" t="s">
        <v>705</v>
      </c>
      <c r="C64" s="431" t="s">
        <v>621</v>
      </c>
      <c r="D64" s="431" t="s">
        <v>621</v>
      </c>
      <c r="E64" s="431" t="s">
        <v>621</v>
      </c>
      <c r="F64" s="431" t="s">
        <v>621</v>
      </c>
      <c r="G64" s="431" t="s">
        <v>621</v>
      </c>
      <c r="H64" s="431" t="s">
        <v>621</v>
      </c>
      <c r="I64" s="431" t="s">
        <v>621</v>
      </c>
      <c r="J64" s="431">
        <v>1.6</v>
      </c>
      <c r="K64" s="431" t="s">
        <v>621</v>
      </c>
      <c r="L64" s="431">
        <v>28</v>
      </c>
      <c r="M64" s="431" t="s">
        <v>621</v>
      </c>
      <c r="N64" s="431" t="s">
        <v>621</v>
      </c>
      <c r="O64" s="431" t="s">
        <v>621</v>
      </c>
      <c r="P64" s="431" t="s">
        <v>621</v>
      </c>
      <c r="Q64" s="431" t="s">
        <v>621</v>
      </c>
      <c r="R64" s="431" t="s">
        <v>621</v>
      </c>
      <c r="S64" s="431" t="s">
        <v>621</v>
      </c>
      <c r="T64" s="431" t="s">
        <v>621</v>
      </c>
      <c r="U64" s="431" t="s">
        <v>621</v>
      </c>
      <c r="V64" s="431" t="s">
        <v>621</v>
      </c>
      <c r="W64" s="431" t="s">
        <v>621</v>
      </c>
      <c r="X64" s="431" t="s">
        <v>621</v>
      </c>
      <c r="Y64" s="431" t="s">
        <v>621</v>
      </c>
      <c r="Z64" s="431" t="s">
        <v>621</v>
      </c>
      <c r="AA64" s="431" t="s">
        <v>621</v>
      </c>
      <c r="AB64" s="431" t="s">
        <v>621</v>
      </c>
      <c r="AC64" s="431" t="s">
        <v>621</v>
      </c>
      <c r="AD64" s="431" t="s">
        <v>621</v>
      </c>
      <c r="AE64" s="431" t="s">
        <v>621</v>
      </c>
      <c r="AF64" s="431" t="s">
        <v>621</v>
      </c>
      <c r="AG64" s="431" t="s">
        <v>621</v>
      </c>
      <c r="AH64" s="431" t="s">
        <v>621</v>
      </c>
      <c r="AI64" s="431" t="s">
        <v>621</v>
      </c>
      <c r="AJ64" s="431" t="s">
        <v>621</v>
      </c>
      <c r="AK64" s="431" t="s">
        <v>621</v>
      </c>
      <c r="AL64" s="431" t="s">
        <v>621</v>
      </c>
      <c r="AM64" s="431" t="s">
        <v>621</v>
      </c>
      <c r="AN64" s="431" t="s">
        <v>621</v>
      </c>
      <c r="AO64" s="431" t="s">
        <v>621</v>
      </c>
      <c r="AP64" s="431" t="s">
        <v>621</v>
      </c>
      <c r="AQ64" s="431" t="s">
        <v>621</v>
      </c>
      <c r="AR64" s="431" t="s">
        <v>621</v>
      </c>
      <c r="AS64" s="431" t="s">
        <v>621</v>
      </c>
    </row>
    <row r="65" spans="1:45" s="347" customFormat="1" ht="92.25" hidden="1" x14ac:dyDescent="0.25">
      <c r="A65" s="270" t="s">
        <v>603</v>
      </c>
      <c r="B65" s="430" t="s">
        <v>706</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row>
    <row r="66" spans="1:45" s="432" customFormat="1" ht="128.25" customHeight="1" x14ac:dyDescent="0.25">
      <c r="A66" s="270" t="s">
        <v>604</v>
      </c>
      <c r="B66" s="430" t="s">
        <v>707</v>
      </c>
      <c r="C66" s="431" t="s">
        <v>621</v>
      </c>
      <c r="D66" s="431" t="s">
        <v>621</v>
      </c>
      <c r="E66" s="431" t="s">
        <v>621</v>
      </c>
      <c r="F66" s="431" t="s">
        <v>621</v>
      </c>
      <c r="G66" s="431" t="s">
        <v>621</v>
      </c>
      <c r="H66" s="431" t="s">
        <v>621</v>
      </c>
      <c r="I66" s="431" t="s">
        <v>621</v>
      </c>
      <c r="J66" s="431">
        <v>1.6</v>
      </c>
      <c r="K66" s="431" t="s">
        <v>621</v>
      </c>
      <c r="L66" s="431">
        <v>28</v>
      </c>
      <c r="M66" s="431" t="s">
        <v>621</v>
      </c>
      <c r="N66" s="431" t="s">
        <v>621</v>
      </c>
      <c r="O66" s="431" t="s">
        <v>621</v>
      </c>
      <c r="P66" s="431" t="s">
        <v>621</v>
      </c>
      <c r="Q66" s="431" t="s">
        <v>621</v>
      </c>
      <c r="R66" s="431" t="s">
        <v>621</v>
      </c>
      <c r="S66" s="431" t="s">
        <v>621</v>
      </c>
      <c r="T66" s="431" t="s">
        <v>621</v>
      </c>
      <c r="U66" s="431" t="s">
        <v>621</v>
      </c>
      <c r="V66" s="431" t="s">
        <v>621</v>
      </c>
      <c r="W66" s="431" t="s">
        <v>621</v>
      </c>
      <c r="X66" s="431" t="s">
        <v>621</v>
      </c>
      <c r="Y66" s="431" t="s">
        <v>621</v>
      </c>
      <c r="Z66" s="431" t="s">
        <v>621</v>
      </c>
      <c r="AA66" s="431" t="s">
        <v>621</v>
      </c>
      <c r="AB66" s="431" t="s">
        <v>621</v>
      </c>
      <c r="AC66" s="431" t="s">
        <v>621</v>
      </c>
      <c r="AD66" s="431" t="s">
        <v>621</v>
      </c>
      <c r="AE66" s="431" t="s">
        <v>621</v>
      </c>
      <c r="AF66" s="431" t="s">
        <v>621</v>
      </c>
      <c r="AG66" s="431" t="s">
        <v>621</v>
      </c>
      <c r="AH66" s="431" t="s">
        <v>621</v>
      </c>
      <c r="AI66" s="431" t="s">
        <v>621</v>
      </c>
      <c r="AJ66" s="431" t="s">
        <v>621</v>
      </c>
      <c r="AK66" s="431" t="s">
        <v>621</v>
      </c>
      <c r="AL66" s="431" t="s">
        <v>621</v>
      </c>
      <c r="AM66" s="431" t="s">
        <v>621</v>
      </c>
      <c r="AN66" s="431" t="s">
        <v>621</v>
      </c>
      <c r="AO66" s="431" t="s">
        <v>621</v>
      </c>
      <c r="AP66" s="431" t="s">
        <v>621</v>
      </c>
      <c r="AQ66" s="431" t="s">
        <v>621</v>
      </c>
      <c r="AR66" s="431" t="s">
        <v>621</v>
      </c>
      <c r="AS66" s="431" t="s">
        <v>621</v>
      </c>
    </row>
    <row r="67" spans="1:45" s="432" customFormat="1" ht="51" customHeight="1" x14ac:dyDescent="0.25">
      <c r="A67" s="316" t="s">
        <v>885</v>
      </c>
      <c r="B67" s="426" t="s">
        <v>860</v>
      </c>
      <c r="C67" s="262" t="str">
        <f>CONCATENATE("J","_",2020,"_",A67)</f>
        <v>J_2020_1.2.4.2.1</v>
      </c>
      <c r="D67" s="262" t="s">
        <v>621</v>
      </c>
      <c r="E67" s="262" t="s">
        <v>621</v>
      </c>
      <c r="F67" s="262" t="s">
        <v>621</v>
      </c>
      <c r="G67" s="262" t="s">
        <v>621</v>
      </c>
      <c r="H67" s="262" t="s">
        <v>621</v>
      </c>
      <c r="I67" s="262" t="s">
        <v>621</v>
      </c>
      <c r="J67" s="262">
        <v>0.8</v>
      </c>
      <c r="K67" s="262" t="s">
        <v>621</v>
      </c>
      <c r="L67" s="262" t="s">
        <v>621</v>
      </c>
      <c r="M67" s="262" t="s">
        <v>621</v>
      </c>
      <c r="N67" s="262" t="s">
        <v>621</v>
      </c>
      <c r="O67" s="262" t="s">
        <v>621</v>
      </c>
      <c r="P67" s="262" t="s">
        <v>621</v>
      </c>
      <c r="Q67" s="262" t="s">
        <v>621</v>
      </c>
      <c r="R67" s="262" t="s">
        <v>621</v>
      </c>
      <c r="S67" s="262" t="s">
        <v>621</v>
      </c>
      <c r="T67" s="262" t="s">
        <v>621</v>
      </c>
      <c r="U67" s="262" t="s">
        <v>621</v>
      </c>
      <c r="V67" s="262" t="s">
        <v>621</v>
      </c>
      <c r="W67" s="262" t="s">
        <v>621</v>
      </c>
      <c r="X67" s="262" t="s">
        <v>621</v>
      </c>
      <c r="Y67" s="262" t="s">
        <v>621</v>
      </c>
      <c r="Z67" s="262" t="s">
        <v>621</v>
      </c>
      <c r="AA67" s="262" t="s">
        <v>621</v>
      </c>
      <c r="AB67" s="262" t="s">
        <v>621</v>
      </c>
      <c r="AC67" s="262" t="s">
        <v>621</v>
      </c>
      <c r="AD67" s="262" t="s">
        <v>621</v>
      </c>
      <c r="AE67" s="262" t="s">
        <v>621</v>
      </c>
      <c r="AF67" s="262" t="s">
        <v>621</v>
      </c>
      <c r="AG67" s="262" t="s">
        <v>621</v>
      </c>
      <c r="AH67" s="262" t="s">
        <v>621</v>
      </c>
      <c r="AI67" s="262" t="s">
        <v>621</v>
      </c>
      <c r="AJ67" s="262" t="s">
        <v>621</v>
      </c>
      <c r="AK67" s="262" t="s">
        <v>621</v>
      </c>
      <c r="AL67" s="262" t="s">
        <v>621</v>
      </c>
      <c r="AM67" s="262" t="s">
        <v>621</v>
      </c>
      <c r="AN67" s="262" t="s">
        <v>621</v>
      </c>
      <c r="AO67" s="262" t="s">
        <v>621</v>
      </c>
      <c r="AP67" s="262" t="s">
        <v>621</v>
      </c>
      <c r="AQ67" s="262" t="s">
        <v>621</v>
      </c>
      <c r="AR67" s="262" t="s">
        <v>621</v>
      </c>
      <c r="AS67" s="262" t="s">
        <v>621</v>
      </c>
    </row>
    <row r="68" spans="1:45" s="432" customFormat="1" ht="46.5" customHeight="1" x14ac:dyDescent="0.25">
      <c r="A68" s="316" t="s">
        <v>886</v>
      </c>
      <c r="B68" s="426" t="s">
        <v>861</v>
      </c>
      <c r="C68" s="262" t="str">
        <f>CONCATENATE("J","_",2020,"_",A68)</f>
        <v>J_2020_1.2.4.2.2</v>
      </c>
      <c r="D68" s="262" t="s">
        <v>621</v>
      </c>
      <c r="E68" s="262" t="s">
        <v>621</v>
      </c>
      <c r="F68" s="262" t="s">
        <v>621</v>
      </c>
      <c r="G68" s="262" t="s">
        <v>621</v>
      </c>
      <c r="H68" s="262" t="s">
        <v>621</v>
      </c>
      <c r="I68" s="262" t="s">
        <v>621</v>
      </c>
      <c r="J68" s="262">
        <v>0.8</v>
      </c>
      <c r="K68" s="262" t="s">
        <v>621</v>
      </c>
      <c r="L68" s="262" t="s">
        <v>621</v>
      </c>
      <c r="M68" s="262" t="s">
        <v>621</v>
      </c>
      <c r="N68" s="262" t="s">
        <v>621</v>
      </c>
      <c r="O68" s="262" t="s">
        <v>621</v>
      </c>
      <c r="P68" s="262" t="s">
        <v>621</v>
      </c>
      <c r="Q68" s="262" t="s">
        <v>621</v>
      </c>
      <c r="R68" s="262" t="s">
        <v>621</v>
      </c>
      <c r="S68" s="262" t="s">
        <v>621</v>
      </c>
      <c r="T68" s="262" t="s">
        <v>621</v>
      </c>
      <c r="U68" s="262" t="s">
        <v>621</v>
      </c>
      <c r="V68" s="262" t="s">
        <v>621</v>
      </c>
      <c r="W68" s="262" t="s">
        <v>621</v>
      </c>
      <c r="X68" s="262" t="s">
        <v>621</v>
      </c>
      <c r="Y68" s="262" t="s">
        <v>621</v>
      </c>
      <c r="Z68" s="262" t="s">
        <v>621</v>
      </c>
      <c r="AA68" s="262" t="s">
        <v>621</v>
      </c>
      <c r="AB68" s="262" t="s">
        <v>621</v>
      </c>
      <c r="AC68" s="262" t="s">
        <v>621</v>
      </c>
      <c r="AD68" s="262" t="s">
        <v>621</v>
      </c>
      <c r="AE68" s="262" t="s">
        <v>621</v>
      </c>
      <c r="AF68" s="262" t="s">
        <v>621</v>
      </c>
      <c r="AG68" s="262" t="s">
        <v>621</v>
      </c>
      <c r="AH68" s="262" t="s">
        <v>621</v>
      </c>
      <c r="AI68" s="262" t="s">
        <v>621</v>
      </c>
      <c r="AJ68" s="262" t="s">
        <v>621</v>
      </c>
      <c r="AK68" s="262" t="s">
        <v>621</v>
      </c>
      <c r="AL68" s="262" t="s">
        <v>621</v>
      </c>
      <c r="AM68" s="262" t="s">
        <v>621</v>
      </c>
      <c r="AN68" s="262" t="s">
        <v>621</v>
      </c>
      <c r="AO68" s="262" t="s">
        <v>621</v>
      </c>
      <c r="AP68" s="262" t="s">
        <v>621</v>
      </c>
      <c r="AQ68" s="262" t="s">
        <v>621</v>
      </c>
      <c r="AR68" s="262" t="s">
        <v>621</v>
      </c>
      <c r="AS68" s="262" t="s">
        <v>621</v>
      </c>
    </row>
    <row r="69" spans="1:45" s="432" customFormat="1" ht="60.75" customHeight="1" x14ac:dyDescent="0.25">
      <c r="A69" s="316" t="s">
        <v>887</v>
      </c>
      <c r="B69" s="426" t="s">
        <v>862</v>
      </c>
      <c r="C69" s="262" t="str">
        <f>CONCATENATE("J","_",2020,"_",A69)</f>
        <v>J_2020_1.2.4.2.3</v>
      </c>
      <c r="D69" s="262" t="s">
        <v>621</v>
      </c>
      <c r="E69" s="262" t="s">
        <v>621</v>
      </c>
      <c r="F69" s="262" t="s">
        <v>621</v>
      </c>
      <c r="G69" s="262" t="s">
        <v>621</v>
      </c>
      <c r="H69" s="262" t="s">
        <v>621</v>
      </c>
      <c r="I69" s="262" t="s">
        <v>621</v>
      </c>
      <c r="J69" s="262" t="s">
        <v>621</v>
      </c>
      <c r="K69" s="262" t="s">
        <v>621</v>
      </c>
      <c r="L69" s="262">
        <v>28</v>
      </c>
      <c r="M69" s="262" t="s">
        <v>621</v>
      </c>
      <c r="N69" s="262" t="s">
        <v>621</v>
      </c>
      <c r="O69" s="262" t="s">
        <v>621</v>
      </c>
      <c r="P69" s="262" t="s">
        <v>621</v>
      </c>
      <c r="Q69" s="262" t="s">
        <v>621</v>
      </c>
      <c r="R69" s="262" t="s">
        <v>621</v>
      </c>
      <c r="S69" s="262" t="s">
        <v>621</v>
      </c>
      <c r="T69" s="262" t="s">
        <v>621</v>
      </c>
      <c r="U69" s="262" t="s">
        <v>621</v>
      </c>
      <c r="V69" s="262" t="s">
        <v>621</v>
      </c>
      <c r="W69" s="262" t="s">
        <v>621</v>
      </c>
      <c r="X69" s="262" t="s">
        <v>621</v>
      </c>
      <c r="Y69" s="262" t="s">
        <v>621</v>
      </c>
      <c r="Z69" s="262" t="s">
        <v>621</v>
      </c>
      <c r="AA69" s="262" t="s">
        <v>621</v>
      </c>
      <c r="AB69" s="262" t="s">
        <v>621</v>
      </c>
      <c r="AC69" s="262" t="s">
        <v>621</v>
      </c>
      <c r="AD69" s="262" t="s">
        <v>621</v>
      </c>
      <c r="AE69" s="262" t="s">
        <v>621</v>
      </c>
      <c r="AF69" s="262" t="s">
        <v>621</v>
      </c>
      <c r="AG69" s="262" t="s">
        <v>621</v>
      </c>
      <c r="AH69" s="262" t="s">
        <v>621</v>
      </c>
      <c r="AI69" s="262" t="s">
        <v>621</v>
      </c>
      <c r="AJ69" s="262" t="s">
        <v>621</v>
      </c>
      <c r="AK69" s="262" t="s">
        <v>621</v>
      </c>
      <c r="AL69" s="262" t="s">
        <v>621</v>
      </c>
      <c r="AM69" s="262" t="s">
        <v>621</v>
      </c>
      <c r="AN69" s="262" t="s">
        <v>621</v>
      </c>
      <c r="AO69" s="262" t="s">
        <v>621</v>
      </c>
      <c r="AP69" s="262" t="s">
        <v>621</v>
      </c>
      <c r="AQ69" s="262" t="s">
        <v>621</v>
      </c>
      <c r="AR69" s="262" t="s">
        <v>621</v>
      </c>
      <c r="AS69" s="262" t="s">
        <v>621</v>
      </c>
    </row>
    <row r="70" spans="1:45" s="297" customFormat="1" ht="81" hidden="1" x14ac:dyDescent="0.25">
      <c r="A70" s="157" t="s">
        <v>722</v>
      </c>
      <c r="B70" s="158" t="s">
        <v>708</v>
      </c>
      <c r="C70" s="146"/>
      <c r="D70" s="146"/>
      <c r="E70" s="146"/>
      <c r="F70" s="146"/>
      <c r="G70" s="146"/>
      <c r="H70" s="146"/>
      <c r="I70" s="146"/>
      <c r="J70" s="146"/>
      <c r="K70" s="146"/>
      <c r="L70" s="146"/>
      <c r="M70" s="146"/>
      <c r="N70" s="298"/>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row>
    <row r="71" spans="1:45" s="297" customFormat="1" ht="81" hidden="1" x14ac:dyDescent="0.25">
      <c r="A71" s="153" t="s">
        <v>723</v>
      </c>
      <c r="B71" s="154" t="s">
        <v>709</v>
      </c>
      <c r="C71" s="146"/>
      <c r="D71" s="146"/>
      <c r="E71" s="146"/>
      <c r="F71" s="146"/>
      <c r="G71" s="146"/>
      <c r="H71" s="146"/>
      <c r="I71" s="146"/>
      <c r="J71" s="146"/>
      <c r="K71" s="146"/>
      <c r="L71" s="146"/>
      <c r="M71" s="146"/>
      <c r="N71" s="298"/>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row>
    <row r="72" spans="1:45" s="297" customFormat="1" ht="60.75" hidden="1" x14ac:dyDescent="0.25">
      <c r="A72" s="153" t="s">
        <v>724</v>
      </c>
      <c r="B72" s="154" t="s">
        <v>710</v>
      </c>
      <c r="C72" s="146"/>
      <c r="D72" s="146"/>
      <c r="E72" s="146"/>
      <c r="F72" s="146"/>
      <c r="G72" s="146"/>
      <c r="H72" s="146"/>
      <c r="I72" s="146"/>
      <c r="J72" s="146"/>
      <c r="K72" s="146"/>
      <c r="L72" s="146"/>
      <c r="M72" s="146"/>
      <c r="N72" s="298"/>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row>
    <row r="73" spans="1:45" s="297" customFormat="1" ht="40.5" hidden="1" x14ac:dyDescent="0.25">
      <c r="A73" s="147" t="s">
        <v>742</v>
      </c>
      <c r="B73" s="159" t="s">
        <v>688</v>
      </c>
      <c r="C73" s="146"/>
      <c r="D73" s="146"/>
      <c r="E73" s="146"/>
      <c r="F73" s="146"/>
      <c r="G73" s="146"/>
      <c r="H73" s="146"/>
      <c r="I73" s="146"/>
      <c r="J73" s="146"/>
      <c r="K73" s="146"/>
      <c r="L73" s="146"/>
      <c r="M73" s="146"/>
      <c r="N73" s="298"/>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row>
    <row r="74" spans="1:45" s="297" customFormat="1" ht="60.75" hidden="1" x14ac:dyDescent="0.25">
      <c r="A74" s="147" t="s">
        <v>743</v>
      </c>
      <c r="B74" s="159" t="s">
        <v>689</v>
      </c>
      <c r="C74" s="146"/>
      <c r="D74" s="146"/>
      <c r="E74" s="146"/>
      <c r="F74" s="146"/>
      <c r="G74" s="146"/>
      <c r="H74" s="146"/>
      <c r="I74" s="146"/>
      <c r="J74" s="146"/>
      <c r="K74" s="146"/>
      <c r="L74" s="146"/>
      <c r="M74" s="146"/>
      <c r="N74" s="298"/>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row>
    <row r="75" spans="1:45" s="297" customFormat="1" ht="81" hidden="1" customHeight="1" x14ac:dyDescent="0.25">
      <c r="A75" s="147" t="s">
        <v>741</v>
      </c>
      <c r="B75" s="626" t="s">
        <v>690</v>
      </c>
      <c r="C75" s="305" t="s">
        <v>621</v>
      </c>
      <c r="D75" s="305" t="s">
        <v>621</v>
      </c>
      <c r="E75" s="305" t="s">
        <v>621</v>
      </c>
      <c r="F75" s="305" t="s">
        <v>621</v>
      </c>
      <c r="G75" s="305" t="s">
        <v>621</v>
      </c>
      <c r="H75" s="305" t="s">
        <v>621</v>
      </c>
      <c r="I75" s="305" t="s">
        <v>621</v>
      </c>
      <c r="J75" s="305" t="s">
        <v>621</v>
      </c>
      <c r="K75" s="305" t="s">
        <v>621</v>
      </c>
      <c r="L75" s="305">
        <v>27</v>
      </c>
      <c r="M75" s="305" t="s">
        <v>621</v>
      </c>
      <c r="N75" s="305" t="s">
        <v>621</v>
      </c>
      <c r="O75" s="305" t="s">
        <v>621</v>
      </c>
      <c r="P75" s="305" t="s">
        <v>621</v>
      </c>
      <c r="Q75" s="305" t="s">
        <v>621</v>
      </c>
      <c r="R75" s="305" t="s">
        <v>621</v>
      </c>
      <c r="S75" s="305" t="s">
        <v>621</v>
      </c>
      <c r="T75" s="305" t="s">
        <v>621</v>
      </c>
      <c r="U75" s="305" t="s">
        <v>621</v>
      </c>
      <c r="V75" s="305" t="s">
        <v>621</v>
      </c>
      <c r="W75" s="305" t="s">
        <v>621</v>
      </c>
      <c r="X75" s="305" t="s">
        <v>621</v>
      </c>
      <c r="Y75" s="305" t="s">
        <v>621</v>
      </c>
      <c r="Z75" s="305" t="s">
        <v>621</v>
      </c>
      <c r="AA75" s="305" t="s">
        <v>621</v>
      </c>
      <c r="AB75" s="305" t="s">
        <v>621</v>
      </c>
      <c r="AC75" s="305" t="s">
        <v>621</v>
      </c>
      <c r="AD75" s="305" t="s">
        <v>621</v>
      </c>
      <c r="AE75" s="305" t="s">
        <v>621</v>
      </c>
      <c r="AF75" s="305" t="s">
        <v>621</v>
      </c>
      <c r="AG75" s="305" t="s">
        <v>621</v>
      </c>
      <c r="AH75" s="305" t="s">
        <v>621</v>
      </c>
      <c r="AI75" s="305" t="s">
        <v>621</v>
      </c>
      <c r="AJ75" s="305" t="s">
        <v>621</v>
      </c>
      <c r="AK75" s="305" t="s">
        <v>621</v>
      </c>
      <c r="AL75" s="305" t="s">
        <v>621</v>
      </c>
      <c r="AM75" s="305" t="s">
        <v>621</v>
      </c>
      <c r="AN75" s="305" t="s">
        <v>621</v>
      </c>
      <c r="AO75" s="305" t="s">
        <v>621</v>
      </c>
      <c r="AP75" s="305" t="s">
        <v>621</v>
      </c>
      <c r="AQ75" s="305" t="s">
        <v>621</v>
      </c>
      <c r="AR75" s="305" t="s">
        <v>621</v>
      </c>
      <c r="AS75" s="305" t="s">
        <v>621</v>
      </c>
    </row>
    <row r="76" spans="1:45" ht="189" hidden="1" customHeight="1" x14ac:dyDescent="0.3">
      <c r="A76" s="316"/>
      <c r="B76" s="55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row>
    <row r="77" spans="1:45" s="648" customFormat="1" ht="50.25" customHeight="1" x14ac:dyDescent="0.3">
      <c r="A77" s="651"/>
      <c r="B77" s="652"/>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53"/>
      <c r="AR77" s="653"/>
      <c r="AS77" s="653"/>
    </row>
    <row r="78" spans="1:45" s="238" customFormat="1" ht="135" customHeight="1" x14ac:dyDescent="0.5">
      <c r="B78" s="238" t="s">
        <v>1733</v>
      </c>
      <c r="W78" s="238" t="s">
        <v>1652</v>
      </c>
    </row>
  </sheetData>
  <mergeCells count="42">
    <mergeCell ref="AJ17:AK17"/>
    <mergeCell ref="A13:AS13"/>
    <mergeCell ref="D17:E17"/>
    <mergeCell ref="F17:G17"/>
    <mergeCell ref="N17:O17"/>
    <mergeCell ref="AN16:AS16"/>
    <mergeCell ref="X17:Y17"/>
    <mergeCell ref="AB17:AC17"/>
    <mergeCell ref="AF17:AG17"/>
    <mergeCell ref="AD17:AE17"/>
    <mergeCell ref="B15:B18"/>
    <mergeCell ref="C15:C18"/>
    <mergeCell ref="D15:AS15"/>
    <mergeCell ref="AR17:AS17"/>
    <mergeCell ref="D16:I16"/>
    <mergeCell ref="J16:O16"/>
    <mergeCell ref="P16:U16"/>
    <mergeCell ref="A5:AS5"/>
    <mergeCell ref="A12:AS12"/>
    <mergeCell ref="K2:L2"/>
    <mergeCell ref="M2:N2"/>
    <mergeCell ref="A4:AS4"/>
    <mergeCell ref="A7:AS7"/>
    <mergeCell ref="A8:AS8"/>
    <mergeCell ref="A10:AS10"/>
    <mergeCell ref="AB16:AG16"/>
    <mergeCell ref="AN17:AO17"/>
    <mergeCell ref="A14:AS14"/>
    <mergeCell ref="A15:A18"/>
    <mergeCell ref="Z17:AA17"/>
    <mergeCell ref="L17:M17"/>
    <mergeCell ref="AH16:AM16"/>
    <mergeCell ref="T17:U17"/>
    <mergeCell ref="V17:W17"/>
    <mergeCell ref="J17:K17"/>
    <mergeCell ref="P17:Q17"/>
    <mergeCell ref="AH17:AI17"/>
    <mergeCell ref="AL17:AM17"/>
    <mergeCell ref="AP17:AQ17"/>
    <mergeCell ref="V16:AA16"/>
    <mergeCell ref="H17:I17"/>
    <mergeCell ref="R17:S17"/>
  </mergeCells>
  <printOptions horizontalCentered="1"/>
  <pageMargins left="0.19685039370078741" right="0.11811023622047245" top="0.74803149606299213" bottom="0.19685039370078741" header="0.31496062992125984" footer="0.31496062992125984"/>
  <pageSetup paperSize="8"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N76"/>
  <sheetViews>
    <sheetView view="pageBreakPreview" topLeftCell="A2" zoomScale="40" zoomScaleNormal="70" zoomScaleSheetLayoutView="40" workbookViewId="0">
      <pane ySplit="17" topLeftCell="A31" activePane="bottomLeft" state="frozen"/>
      <selection activeCell="A2" sqref="A2"/>
      <selection pane="bottomLeft" activeCell="AI76" sqref="AI76"/>
    </sheetView>
  </sheetViews>
  <sheetFormatPr defaultRowHeight="23.25" x14ac:dyDescent="0.35"/>
  <cols>
    <col min="1" max="1" width="17" style="392" customWidth="1"/>
    <col min="2" max="2" width="58.125" style="392" customWidth="1"/>
    <col min="3" max="3" width="29.75" style="392" customWidth="1"/>
    <col min="4" max="15" width="5.75" style="392" bestFit="1" customWidth="1"/>
    <col min="16" max="16" width="7.25" style="392" customWidth="1"/>
    <col min="17" max="17" width="9.5" style="392" customWidth="1"/>
    <col min="18" max="18" width="6" style="392" customWidth="1"/>
    <col min="19" max="19" width="14.5" style="392" customWidth="1"/>
    <col min="20" max="21" width="6" style="392" customWidth="1"/>
    <col min="22" max="22" width="9.125" style="392" customWidth="1"/>
    <col min="23" max="23" width="10.125" style="392" customWidth="1"/>
    <col min="24" max="24" width="6" style="392" customWidth="1"/>
    <col min="25" max="25" width="11" style="392" customWidth="1"/>
    <col min="26" max="26" width="8.5" style="392" customWidth="1"/>
    <col min="27" max="27" width="7.375" style="392" customWidth="1"/>
    <col min="28" max="28" width="6" style="392" customWidth="1"/>
    <col min="29" max="29" width="8.875" style="392" customWidth="1"/>
    <col min="30" max="30" width="6" style="392" customWidth="1"/>
    <col min="31" max="31" width="12.25" style="402" bestFit="1" customWidth="1"/>
    <col min="32" max="34" width="6" style="392" customWidth="1"/>
    <col min="35" max="35" width="10.75" style="392" customWidth="1"/>
    <col min="36" max="36" width="6" style="392" customWidth="1"/>
    <col min="37" max="37" width="12.625" style="392" customWidth="1"/>
    <col min="38" max="38" width="6" style="392" customWidth="1"/>
    <col min="39" max="39" width="7.875" style="392" customWidth="1"/>
    <col min="40" max="40" width="8.5" style="392" customWidth="1"/>
    <col min="41" max="41" width="10.125" style="392" customWidth="1"/>
    <col min="42" max="42" width="6" style="392" customWidth="1"/>
    <col min="43" max="43" width="12.25" style="402" bestFit="1" customWidth="1"/>
    <col min="44" max="46" width="6" style="392" customWidth="1"/>
    <col min="47" max="47" width="10.125" style="392" customWidth="1"/>
    <col min="48" max="48" width="6" style="392" customWidth="1"/>
    <col min="49" max="49" width="11.625" style="392" customWidth="1"/>
    <col min="50" max="52" width="6" style="392" customWidth="1"/>
    <col min="53" max="53" width="9.75" style="392" customWidth="1"/>
    <col min="54" max="54" width="6" style="392" customWidth="1"/>
    <col min="55" max="55" width="12.5" style="402" customWidth="1"/>
    <col min="56" max="58" width="6" style="392" customWidth="1"/>
    <col min="59" max="59" width="12.625" style="392" customWidth="1"/>
    <col min="60" max="60" width="6" style="392" customWidth="1"/>
    <col min="61" max="61" width="12.25" style="392" customWidth="1"/>
    <col min="62" max="66" width="6" style="392" customWidth="1"/>
    <col min="67" max="67" width="12.25" style="392" bestFit="1" customWidth="1"/>
    <col min="68" max="72" width="6" style="392" customWidth="1"/>
    <col min="73" max="73" width="13.875" style="392" customWidth="1"/>
    <col min="74" max="74" width="6" style="392" customWidth="1"/>
    <col min="75" max="75" width="10.375" style="392" customWidth="1"/>
    <col min="76" max="76" width="14.25" style="392" customWidth="1"/>
    <col min="77" max="16384" width="9" style="392"/>
  </cols>
  <sheetData>
    <row r="1" spans="1:118" x14ac:dyDescent="0.35">
      <c r="V1" s="391"/>
      <c r="W1" s="391"/>
      <c r="X1" s="391"/>
      <c r="Y1" s="391"/>
      <c r="Z1" s="391"/>
      <c r="AA1" s="391"/>
      <c r="AB1" s="391"/>
      <c r="AC1" s="391"/>
      <c r="AD1" s="391"/>
      <c r="AE1" s="401"/>
      <c r="AM1" s="364" t="s">
        <v>347</v>
      </c>
      <c r="AZ1" s="391"/>
      <c r="BA1" s="391"/>
      <c r="BB1" s="391"/>
      <c r="BC1" s="401"/>
    </row>
    <row r="2" spans="1:118" x14ac:dyDescent="0.35">
      <c r="V2" s="391"/>
      <c r="W2" s="391"/>
      <c r="X2" s="391"/>
      <c r="Y2" s="391"/>
      <c r="Z2" s="391"/>
      <c r="AA2" s="391"/>
      <c r="AB2" s="391"/>
      <c r="AC2" s="391"/>
      <c r="AD2" s="391"/>
      <c r="AE2" s="401"/>
      <c r="AM2" s="366" t="s">
        <v>1</v>
      </c>
      <c r="AZ2" s="391"/>
      <c r="BA2" s="391"/>
      <c r="BB2" s="391"/>
      <c r="BC2" s="401"/>
    </row>
    <row r="3" spans="1:118" x14ac:dyDescent="0.35">
      <c r="V3" s="391"/>
      <c r="W3" s="391"/>
      <c r="X3" s="391"/>
      <c r="Y3" s="391"/>
      <c r="Z3" s="391"/>
      <c r="AA3" s="391"/>
      <c r="AB3" s="391"/>
      <c r="AC3" s="391"/>
      <c r="AD3" s="391"/>
      <c r="AE3" s="401"/>
      <c r="AM3" s="366" t="s">
        <v>265</v>
      </c>
      <c r="AZ3" s="391"/>
      <c r="BA3" s="391"/>
      <c r="BB3" s="391"/>
      <c r="BC3" s="401"/>
    </row>
    <row r="4" spans="1:118" ht="15.75" customHeight="1" x14ac:dyDescent="0.35">
      <c r="A4" s="1239" t="s">
        <v>396</v>
      </c>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row>
    <row r="6" spans="1:118" s="136" customFormat="1" ht="21.75" customHeight="1" x14ac:dyDescent="0.35">
      <c r="A6" s="1130" t="s">
        <v>926</v>
      </c>
      <c r="B6" s="1130"/>
      <c r="C6" s="1130"/>
      <c r="D6" s="1130"/>
      <c r="E6" s="1130"/>
      <c r="F6" s="1130"/>
      <c r="G6" s="1130"/>
      <c r="H6" s="1130"/>
      <c r="I6" s="1130"/>
      <c r="J6" s="1130"/>
      <c r="K6" s="1130"/>
      <c r="L6" s="1130"/>
      <c r="M6" s="1130"/>
      <c r="N6" s="1130"/>
      <c r="O6" s="1130"/>
      <c r="P6" s="1130"/>
      <c r="Q6" s="1130"/>
      <c r="R6" s="1130"/>
      <c r="S6" s="1130"/>
      <c r="T6" s="1130"/>
      <c r="U6" s="1130"/>
      <c r="V6" s="1130"/>
      <c r="W6" s="1130"/>
      <c r="X6" s="1130"/>
      <c r="Y6" s="1130"/>
      <c r="Z6" s="1130"/>
      <c r="AA6" s="1130"/>
      <c r="AB6" s="1130"/>
      <c r="AC6" s="1130"/>
      <c r="AD6" s="1130"/>
      <c r="AE6" s="1130"/>
      <c r="AF6" s="1130"/>
      <c r="AG6" s="1130"/>
      <c r="AH6" s="1130"/>
      <c r="AI6" s="1130"/>
      <c r="AJ6" s="1130"/>
      <c r="AK6" s="1130"/>
      <c r="AL6" s="1130"/>
      <c r="AM6" s="1130"/>
      <c r="AN6" s="1130"/>
      <c r="AO6" s="1130"/>
      <c r="AP6" s="1130"/>
      <c r="AQ6" s="1130"/>
      <c r="AR6" s="1130"/>
      <c r="AS6" s="1130"/>
      <c r="BC6" s="404"/>
    </row>
    <row r="7" spans="1:118" s="136" customFormat="1" ht="15.75" customHeight="1" x14ac:dyDescent="0.35">
      <c r="A7" s="1126" t="s">
        <v>313</v>
      </c>
      <c r="B7" s="1126"/>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BC7" s="404"/>
    </row>
    <row r="8" spans="1:118" s="136" customFormat="1" x14ac:dyDescent="0.35">
      <c r="AE8" s="404"/>
      <c r="AQ8" s="404"/>
      <c r="BC8" s="404"/>
    </row>
    <row r="9" spans="1:118" s="136" customFormat="1" ht="16.5" customHeight="1" x14ac:dyDescent="0.35">
      <c r="A9" s="1130" t="s">
        <v>1698</v>
      </c>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c r="AP9" s="1130"/>
      <c r="AQ9" s="1130"/>
      <c r="AR9" s="1130"/>
      <c r="AS9" s="1130"/>
      <c r="BC9" s="404"/>
    </row>
    <row r="11" spans="1:118" x14ac:dyDescent="0.35">
      <c r="A11" s="1131" t="s">
        <v>944</v>
      </c>
      <c r="B11" s="1131"/>
      <c r="C11" s="1131"/>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1"/>
      <c r="Z11" s="1131"/>
      <c r="AA11" s="1131"/>
      <c r="AB11" s="1131"/>
      <c r="AC11" s="1131"/>
      <c r="AD11" s="1131"/>
      <c r="AE11" s="1131"/>
      <c r="AF11" s="1131"/>
      <c r="AG11" s="1131"/>
      <c r="AH11" s="1131"/>
      <c r="AI11" s="1131"/>
      <c r="AJ11" s="1131"/>
      <c r="AK11" s="1131"/>
      <c r="AL11" s="1131"/>
      <c r="AM11" s="1131"/>
      <c r="AN11" s="1131"/>
      <c r="AO11" s="1131"/>
      <c r="AP11" s="1131"/>
      <c r="AQ11" s="1131"/>
      <c r="AR11" s="1131"/>
      <c r="AS11" s="1131"/>
      <c r="AT11" s="367"/>
      <c r="AU11" s="367"/>
      <c r="AV11" s="367"/>
      <c r="AW11" s="367"/>
      <c r="AX11" s="367"/>
      <c r="AY11" s="367"/>
      <c r="AZ11" s="367"/>
      <c r="BA11" s="367"/>
      <c r="BB11" s="367"/>
      <c r="BC11" s="401"/>
      <c r="BD11" s="367"/>
      <c r="BE11" s="367"/>
      <c r="BF11" s="367"/>
      <c r="BG11" s="367"/>
      <c r="BH11" s="367"/>
      <c r="BI11" s="367"/>
      <c r="BJ11" s="367"/>
      <c r="BK11" s="367"/>
      <c r="BL11" s="367"/>
      <c r="BM11" s="367"/>
      <c r="BN11" s="367"/>
      <c r="BO11" s="367"/>
      <c r="BP11" s="367"/>
      <c r="BQ11" s="367"/>
      <c r="BR11" s="367"/>
      <c r="BS11" s="367"/>
      <c r="BT11" s="367"/>
      <c r="BU11" s="367"/>
      <c r="BV11" s="367"/>
      <c r="BW11" s="367"/>
      <c r="BX11" s="367"/>
    </row>
    <row r="12" spans="1:118" x14ac:dyDescent="0.35">
      <c r="A12" s="1131" t="s">
        <v>165</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367"/>
      <c r="AU12" s="367"/>
      <c r="AV12" s="367"/>
      <c r="AW12" s="367"/>
      <c r="AX12" s="367"/>
      <c r="AY12" s="367"/>
      <c r="AZ12" s="367"/>
      <c r="BA12" s="367"/>
      <c r="BB12" s="367"/>
      <c r="BC12" s="401"/>
      <c r="BD12" s="367"/>
      <c r="BE12" s="367"/>
      <c r="BF12" s="367"/>
      <c r="BG12" s="367"/>
      <c r="BH12" s="367"/>
      <c r="BI12" s="367"/>
      <c r="BJ12" s="367"/>
      <c r="BK12" s="367"/>
      <c r="BL12" s="367"/>
      <c r="BM12" s="367"/>
      <c r="BN12" s="367"/>
      <c r="BO12" s="367"/>
      <c r="BP12" s="367"/>
      <c r="BQ12" s="367"/>
      <c r="BR12" s="367"/>
      <c r="BS12" s="367"/>
      <c r="BT12" s="367"/>
      <c r="BU12" s="367"/>
      <c r="BV12" s="367"/>
      <c r="BW12" s="367"/>
      <c r="BX12" s="367"/>
    </row>
    <row r="13" spans="1:118" x14ac:dyDescent="0.35">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row>
    <row r="14" spans="1:118" x14ac:dyDescent="0.35">
      <c r="A14" s="1240" t="s">
        <v>179</v>
      </c>
      <c r="B14" s="1240" t="s">
        <v>31</v>
      </c>
      <c r="C14" s="1240" t="s">
        <v>4</v>
      </c>
      <c r="D14" s="1230" t="s">
        <v>765</v>
      </c>
      <c r="E14" s="1231"/>
      <c r="F14" s="1231"/>
      <c r="G14" s="1231"/>
      <c r="H14" s="1231"/>
      <c r="I14" s="1231"/>
      <c r="J14" s="1231"/>
      <c r="K14" s="1231"/>
      <c r="L14" s="1231"/>
      <c r="M14" s="1231"/>
      <c r="N14" s="1231"/>
      <c r="O14" s="1232"/>
      <c r="P14" s="1226" t="s">
        <v>345</v>
      </c>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7"/>
      <c r="BI14" s="1227"/>
      <c r="BJ14" s="1227"/>
      <c r="BK14" s="1227"/>
      <c r="BL14" s="1227"/>
      <c r="BM14" s="1227"/>
      <c r="BN14" s="1227"/>
      <c r="BO14" s="1227"/>
      <c r="BP14" s="1227"/>
      <c r="BQ14" s="1227"/>
      <c r="BR14" s="1227"/>
      <c r="BS14" s="1227"/>
      <c r="BT14" s="1227"/>
      <c r="BU14" s="1227"/>
      <c r="BV14" s="1227"/>
      <c r="BW14" s="1228"/>
      <c r="BX14" s="1222" t="s">
        <v>169</v>
      </c>
    </row>
    <row r="15" spans="1:118" x14ac:dyDescent="0.35">
      <c r="A15" s="1240"/>
      <c r="B15" s="1240"/>
      <c r="C15" s="1240"/>
      <c r="D15" s="1233"/>
      <c r="E15" s="1223"/>
      <c r="F15" s="1223"/>
      <c r="G15" s="1223"/>
      <c r="H15" s="1223"/>
      <c r="I15" s="1223"/>
      <c r="J15" s="1223"/>
      <c r="K15" s="1223"/>
      <c r="L15" s="1223"/>
      <c r="M15" s="1223"/>
      <c r="N15" s="1223"/>
      <c r="O15" s="1234"/>
      <c r="P15" s="1229" t="s">
        <v>747</v>
      </c>
      <c r="Q15" s="1229"/>
      <c r="R15" s="1229"/>
      <c r="S15" s="1229"/>
      <c r="T15" s="1229"/>
      <c r="U15" s="1229"/>
      <c r="V15" s="1229"/>
      <c r="W15" s="1229"/>
      <c r="X15" s="1229"/>
      <c r="Y15" s="1229"/>
      <c r="Z15" s="1229"/>
      <c r="AA15" s="1229"/>
      <c r="AB15" s="1229" t="s">
        <v>748</v>
      </c>
      <c r="AC15" s="1229"/>
      <c r="AD15" s="1229"/>
      <c r="AE15" s="1229"/>
      <c r="AF15" s="1229"/>
      <c r="AG15" s="1229"/>
      <c r="AH15" s="1229"/>
      <c r="AI15" s="1229"/>
      <c r="AJ15" s="1229"/>
      <c r="AK15" s="1229"/>
      <c r="AL15" s="1229"/>
      <c r="AM15" s="1229"/>
      <c r="AN15" s="1229" t="s">
        <v>749</v>
      </c>
      <c r="AO15" s="1229"/>
      <c r="AP15" s="1229"/>
      <c r="AQ15" s="1229"/>
      <c r="AR15" s="1229"/>
      <c r="AS15" s="1229"/>
      <c r="AT15" s="1229"/>
      <c r="AU15" s="1229"/>
      <c r="AV15" s="1229"/>
      <c r="AW15" s="1229"/>
      <c r="AX15" s="1229"/>
      <c r="AY15" s="1229"/>
      <c r="AZ15" s="1229" t="s">
        <v>750</v>
      </c>
      <c r="BA15" s="1229"/>
      <c r="BB15" s="1229"/>
      <c r="BC15" s="1229"/>
      <c r="BD15" s="1229"/>
      <c r="BE15" s="1229"/>
      <c r="BF15" s="1229"/>
      <c r="BG15" s="1229"/>
      <c r="BH15" s="1229"/>
      <c r="BI15" s="1229"/>
      <c r="BJ15" s="1229"/>
      <c r="BK15" s="1229"/>
      <c r="BL15" s="1229" t="s">
        <v>751</v>
      </c>
      <c r="BM15" s="1229"/>
      <c r="BN15" s="1229"/>
      <c r="BO15" s="1229"/>
      <c r="BP15" s="1229"/>
      <c r="BQ15" s="1229"/>
      <c r="BR15" s="1229"/>
      <c r="BS15" s="1229"/>
      <c r="BT15" s="1229"/>
      <c r="BU15" s="1229"/>
      <c r="BV15" s="1229"/>
      <c r="BW15" s="1229"/>
      <c r="BX15" s="1222"/>
      <c r="CM15" s="1224"/>
      <c r="CN15" s="1224"/>
      <c r="CO15" s="1224"/>
      <c r="CP15" s="1224"/>
      <c r="CQ15" s="1224"/>
      <c r="CR15" s="1224"/>
      <c r="CS15" s="1224"/>
      <c r="CT15" s="1224"/>
      <c r="CU15" s="1224"/>
      <c r="CV15" s="1224"/>
      <c r="CW15" s="1224"/>
      <c r="CX15" s="1224"/>
      <c r="CY15" s="1224"/>
      <c r="CZ15" s="1224"/>
      <c r="DA15" s="1224"/>
      <c r="DB15" s="1224"/>
      <c r="DC15" s="1224"/>
      <c r="DD15" s="1224"/>
      <c r="DE15" s="1224"/>
      <c r="DF15" s="1224"/>
      <c r="DG15" s="1224"/>
      <c r="DH15" s="1224"/>
      <c r="DI15" s="1224"/>
      <c r="DJ15" s="1224"/>
      <c r="DK15" s="1224"/>
      <c r="DL15" s="1224"/>
      <c r="DM15" s="1224"/>
      <c r="DN15" s="1224"/>
    </row>
    <row r="16" spans="1:118" x14ac:dyDescent="0.35">
      <c r="A16" s="1240"/>
      <c r="B16" s="1240"/>
      <c r="C16" s="1240"/>
      <c r="D16" s="1235"/>
      <c r="E16" s="1236"/>
      <c r="F16" s="1236"/>
      <c r="G16" s="1236"/>
      <c r="H16" s="1236"/>
      <c r="I16" s="1236"/>
      <c r="J16" s="1236"/>
      <c r="K16" s="1236"/>
      <c r="L16" s="1236"/>
      <c r="M16" s="1236"/>
      <c r="N16" s="1236"/>
      <c r="O16" s="1237"/>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29"/>
      <c r="AM16" s="1229"/>
      <c r="AN16" s="1229"/>
      <c r="AO16" s="1229"/>
      <c r="AP16" s="1229"/>
      <c r="AQ16" s="1229"/>
      <c r="AR16" s="1229"/>
      <c r="AS16" s="1229"/>
      <c r="AT16" s="1229"/>
      <c r="AU16" s="1229"/>
      <c r="AV16" s="1229"/>
      <c r="AW16" s="1229"/>
      <c r="AX16" s="1229"/>
      <c r="AY16" s="1229"/>
      <c r="AZ16" s="1229"/>
      <c r="BA16" s="1229"/>
      <c r="BB16" s="1229"/>
      <c r="BC16" s="1229"/>
      <c r="BD16" s="1229"/>
      <c r="BE16" s="1229"/>
      <c r="BF16" s="1229"/>
      <c r="BG16" s="1229"/>
      <c r="BH16" s="1229"/>
      <c r="BI16" s="1229"/>
      <c r="BJ16" s="1229"/>
      <c r="BK16" s="1229"/>
      <c r="BL16" s="1229"/>
      <c r="BM16" s="1229"/>
      <c r="BN16" s="1229"/>
      <c r="BO16" s="1229"/>
      <c r="BP16" s="1229"/>
      <c r="BQ16" s="1229"/>
      <c r="BR16" s="1229"/>
      <c r="BS16" s="1229"/>
      <c r="BT16" s="1229"/>
      <c r="BU16" s="1229"/>
      <c r="BV16" s="1229"/>
      <c r="BW16" s="1229"/>
      <c r="BX16" s="1222"/>
      <c r="CM16" s="1224"/>
      <c r="CN16" s="1224"/>
      <c r="CO16" s="1224"/>
      <c r="CP16" s="1224"/>
      <c r="CQ16" s="1224"/>
      <c r="CR16" s="1224"/>
      <c r="CS16" s="1224"/>
      <c r="CT16" s="1224"/>
      <c r="CU16" s="1224"/>
      <c r="CV16" s="1224"/>
      <c r="CW16" s="1224"/>
      <c r="CX16" s="1224"/>
      <c r="CY16" s="1224"/>
      <c r="CZ16" s="1224"/>
      <c r="DA16" s="1224"/>
      <c r="DB16" s="1224"/>
      <c r="DC16" s="1224"/>
      <c r="DD16" s="1224"/>
      <c r="DE16" s="1224"/>
      <c r="DF16" s="1224"/>
      <c r="DG16" s="1224"/>
      <c r="DH16" s="1224"/>
      <c r="DI16" s="1224"/>
      <c r="DJ16" s="1224"/>
      <c r="DK16" s="1224"/>
      <c r="DL16" s="1224"/>
      <c r="DM16" s="1224"/>
      <c r="DN16" s="1224"/>
    </row>
    <row r="17" spans="1:118" ht="75.75" customHeight="1" x14ac:dyDescent="0.35">
      <c r="A17" s="1240"/>
      <c r="B17" s="1240"/>
      <c r="C17" s="1240"/>
      <c r="D17" s="1229" t="s">
        <v>167</v>
      </c>
      <c r="E17" s="1229"/>
      <c r="F17" s="1229"/>
      <c r="G17" s="1229"/>
      <c r="H17" s="1229"/>
      <c r="I17" s="1229"/>
      <c r="J17" s="1222" t="s">
        <v>415</v>
      </c>
      <c r="K17" s="1222"/>
      <c r="L17" s="1222"/>
      <c r="M17" s="1222"/>
      <c r="N17" s="1222"/>
      <c r="O17" s="1222"/>
      <c r="P17" s="1229" t="s">
        <v>167</v>
      </c>
      <c r="Q17" s="1229"/>
      <c r="R17" s="1229"/>
      <c r="S17" s="1229"/>
      <c r="T17" s="1229"/>
      <c r="U17" s="1229"/>
      <c r="V17" s="1222" t="s">
        <v>415</v>
      </c>
      <c r="W17" s="1222"/>
      <c r="X17" s="1222"/>
      <c r="Y17" s="1222"/>
      <c r="Z17" s="1222"/>
      <c r="AA17" s="1222"/>
      <c r="AB17" s="1229" t="s">
        <v>167</v>
      </c>
      <c r="AC17" s="1229"/>
      <c r="AD17" s="1229"/>
      <c r="AE17" s="1229"/>
      <c r="AF17" s="1229"/>
      <c r="AG17" s="1229"/>
      <c r="AH17" s="1222" t="s">
        <v>415</v>
      </c>
      <c r="AI17" s="1222"/>
      <c r="AJ17" s="1222"/>
      <c r="AK17" s="1222"/>
      <c r="AL17" s="1222"/>
      <c r="AM17" s="1222"/>
      <c r="AN17" s="1229" t="s">
        <v>167</v>
      </c>
      <c r="AO17" s="1229"/>
      <c r="AP17" s="1229"/>
      <c r="AQ17" s="1229"/>
      <c r="AR17" s="1229"/>
      <c r="AS17" s="1229"/>
      <c r="AT17" s="1222" t="s">
        <v>415</v>
      </c>
      <c r="AU17" s="1222"/>
      <c r="AV17" s="1222"/>
      <c r="AW17" s="1222"/>
      <c r="AX17" s="1222"/>
      <c r="AY17" s="1222"/>
      <c r="AZ17" s="1229" t="s">
        <v>167</v>
      </c>
      <c r="BA17" s="1229"/>
      <c r="BB17" s="1229"/>
      <c r="BC17" s="1229"/>
      <c r="BD17" s="1229"/>
      <c r="BE17" s="1229"/>
      <c r="BF17" s="1222" t="s">
        <v>415</v>
      </c>
      <c r="BG17" s="1222"/>
      <c r="BH17" s="1222"/>
      <c r="BI17" s="1222"/>
      <c r="BJ17" s="1222"/>
      <c r="BK17" s="1222"/>
      <c r="BL17" s="1229" t="s">
        <v>167</v>
      </c>
      <c r="BM17" s="1229"/>
      <c r="BN17" s="1229"/>
      <c r="BO17" s="1229"/>
      <c r="BP17" s="1229"/>
      <c r="BQ17" s="1229"/>
      <c r="BR17" s="1222" t="s">
        <v>415</v>
      </c>
      <c r="BS17" s="1222"/>
      <c r="BT17" s="1222"/>
      <c r="BU17" s="1222"/>
      <c r="BV17" s="1222"/>
      <c r="BW17" s="1222"/>
      <c r="BX17" s="1222"/>
      <c r="CM17" s="1225"/>
      <c r="CN17" s="1225"/>
      <c r="CO17" s="1225"/>
      <c r="CP17" s="1225"/>
      <c r="CQ17" s="1225"/>
      <c r="CR17" s="1225"/>
      <c r="CS17" s="1225"/>
      <c r="CT17" s="1225"/>
      <c r="CU17" s="1225"/>
      <c r="CV17" s="1225"/>
      <c r="CW17" s="1225"/>
      <c r="CX17" s="1225"/>
      <c r="CY17" s="1225"/>
      <c r="CZ17" s="1225"/>
      <c r="DA17" s="1225"/>
      <c r="DB17" s="1225"/>
      <c r="DC17" s="1225"/>
      <c r="DD17" s="1225"/>
      <c r="DE17" s="1225"/>
      <c r="DF17" s="1225"/>
      <c r="DG17" s="1225"/>
      <c r="DH17" s="1223"/>
      <c r="DI17" s="1223"/>
      <c r="DJ17" s="1223"/>
      <c r="DK17" s="1223"/>
      <c r="DL17" s="1223"/>
      <c r="DM17" s="1223"/>
      <c r="DN17" s="1223"/>
    </row>
    <row r="18" spans="1:118" ht="72" x14ac:dyDescent="0.35">
      <c r="A18" s="1240"/>
      <c r="B18" s="1240"/>
      <c r="C18" s="1240"/>
      <c r="D18" s="406" t="s">
        <v>63</v>
      </c>
      <c r="E18" s="406" t="s">
        <v>5</v>
      </c>
      <c r="F18" s="406" t="s">
        <v>6</v>
      </c>
      <c r="G18" s="407" t="s">
        <v>268</v>
      </c>
      <c r="H18" s="406" t="s">
        <v>2</v>
      </c>
      <c r="I18" s="406" t="s">
        <v>148</v>
      </c>
      <c r="J18" s="406" t="s">
        <v>63</v>
      </c>
      <c r="K18" s="406" t="s">
        <v>5</v>
      </c>
      <c r="L18" s="406" t="s">
        <v>6</v>
      </c>
      <c r="M18" s="407" t="s">
        <v>268</v>
      </c>
      <c r="N18" s="406" t="s">
        <v>2</v>
      </c>
      <c r="O18" s="406" t="s">
        <v>148</v>
      </c>
      <c r="P18" s="406" t="s">
        <v>63</v>
      </c>
      <c r="Q18" s="406" t="s">
        <v>5</v>
      </c>
      <c r="R18" s="406" t="s">
        <v>6</v>
      </c>
      <c r="S18" s="407" t="s">
        <v>268</v>
      </c>
      <c r="T18" s="406" t="s">
        <v>2</v>
      </c>
      <c r="U18" s="406" t="s">
        <v>148</v>
      </c>
      <c r="V18" s="406" t="s">
        <v>63</v>
      </c>
      <c r="W18" s="406" t="s">
        <v>5</v>
      </c>
      <c r="X18" s="406" t="s">
        <v>6</v>
      </c>
      <c r="Y18" s="407" t="s">
        <v>268</v>
      </c>
      <c r="Z18" s="406" t="s">
        <v>2</v>
      </c>
      <c r="AA18" s="406" t="s">
        <v>148</v>
      </c>
      <c r="AB18" s="406" t="s">
        <v>63</v>
      </c>
      <c r="AC18" s="406" t="s">
        <v>5</v>
      </c>
      <c r="AD18" s="406" t="s">
        <v>6</v>
      </c>
      <c r="AE18" s="407" t="s">
        <v>268</v>
      </c>
      <c r="AF18" s="406" t="s">
        <v>2</v>
      </c>
      <c r="AG18" s="406" t="s">
        <v>148</v>
      </c>
      <c r="AH18" s="406" t="s">
        <v>63</v>
      </c>
      <c r="AI18" s="406" t="s">
        <v>5</v>
      </c>
      <c r="AJ18" s="406" t="s">
        <v>6</v>
      </c>
      <c r="AK18" s="407" t="s">
        <v>268</v>
      </c>
      <c r="AL18" s="406" t="s">
        <v>2</v>
      </c>
      <c r="AM18" s="406" t="s">
        <v>148</v>
      </c>
      <c r="AN18" s="406" t="s">
        <v>63</v>
      </c>
      <c r="AO18" s="406" t="s">
        <v>5</v>
      </c>
      <c r="AP18" s="406" t="s">
        <v>6</v>
      </c>
      <c r="AQ18" s="407" t="s">
        <v>268</v>
      </c>
      <c r="AR18" s="406" t="s">
        <v>2</v>
      </c>
      <c r="AS18" s="406" t="s">
        <v>148</v>
      </c>
      <c r="AT18" s="406" t="s">
        <v>63</v>
      </c>
      <c r="AU18" s="406" t="s">
        <v>5</v>
      </c>
      <c r="AV18" s="406" t="s">
        <v>6</v>
      </c>
      <c r="AW18" s="407" t="s">
        <v>268</v>
      </c>
      <c r="AX18" s="406" t="s">
        <v>2</v>
      </c>
      <c r="AY18" s="406" t="s">
        <v>148</v>
      </c>
      <c r="AZ18" s="406" t="s">
        <v>63</v>
      </c>
      <c r="BA18" s="406" t="s">
        <v>5</v>
      </c>
      <c r="BB18" s="406" t="s">
        <v>6</v>
      </c>
      <c r="BC18" s="407" t="s">
        <v>268</v>
      </c>
      <c r="BD18" s="406" t="s">
        <v>2</v>
      </c>
      <c r="BE18" s="406" t="s">
        <v>148</v>
      </c>
      <c r="BF18" s="406" t="s">
        <v>63</v>
      </c>
      <c r="BG18" s="406" t="s">
        <v>5</v>
      </c>
      <c r="BH18" s="406" t="s">
        <v>6</v>
      </c>
      <c r="BI18" s="407" t="s">
        <v>268</v>
      </c>
      <c r="BJ18" s="406" t="s">
        <v>2</v>
      </c>
      <c r="BK18" s="406" t="s">
        <v>148</v>
      </c>
      <c r="BL18" s="406" t="s">
        <v>63</v>
      </c>
      <c r="BM18" s="406" t="s">
        <v>5</v>
      </c>
      <c r="BN18" s="406" t="s">
        <v>6</v>
      </c>
      <c r="BO18" s="407" t="s">
        <v>268</v>
      </c>
      <c r="BP18" s="406" t="s">
        <v>2</v>
      </c>
      <c r="BQ18" s="406" t="s">
        <v>148</v>
      </c>
      <c r="BR18" s="406" t="s">
        <v>63</v>
      </c>
      <c r="BS18" s="406" t="s">
        <v>5</v>
      </c>
      <c r="BT18" s="406" t="s">
        <v>6</v>
      </c>
      <c r="BU18" s="407" t="s">
        <v>268</v>
      </c>
      <c r="BV18" s="406" t="s">
        <v>2</v>
      </c>
      <c r="BW18" s="406" t="s">
        <v>148</v>
      </c>
      <c r="BX18" s="1222"/>
      <c r="CM18" s="408"/>
      <c r="CN18" s="408"/>
      <c r="CO18" s="408"/>
      <c r="CP18" s="409"/>
      <c r="CQ18" s="409"/>
      <c r="CR18" s="409"/>
      <c r="CS18" s="408"/>
      <c r="CT18" s="408"/>
      <c r="CU18" s="408"/>
      <c r="CV18" s="408"/>
      <c r="CW18" s="409"/>
      <c r="CX18" s="409"/>
      <c r="CY18" s="409"/>
      <c r="CZ18" s="408"/>
      <c r="DA18" s="408"/>
      <c r="DB18" s="408"/>
      <c r="DC18" s="408"/>
      <c r="DD18" s="409"/>
      <c r="DE18" s="409"/>
      <c r="DF18" s="409"/>
      <c r="DG18" s="408"/>
      <c r="DH18" s="408"/>
      <c r="DI18" s="408"/>
      <c r="DJ18" s="408"/>
      <c r="DK18" s="409"/>
      <c r="DL18" s="409"/>
      <c r="DM18" s="409"/>
      <c r="DN18" s="408"/>
    </row>
    <row r="19" spans="1:118" x14ac:dyDescent="0.35">
      <c r="A19" s="410">
        <v>1</v>
      </c>
      <c r="B19" s="410">
        <v>2</v>
      </c>
      <c r="C19" s="410">
        <v>3</v>
      </c>
      <c r="D19" s="411" t="s">
        <v>108</v>
      </c>
      <c r="E19" s="411" t="s">
        <v>109</v>
      </c>
      <c r="F19" s="411" t="s">
        <v>110</v>
      </c>
      <c r="G19" s="411" t="s">
        <v>111</v>
      </c>
      <c r="H19" s="411" t="s">
        <v>112</v>
      </c>
      <c r="I19" s="411" t="s">
        <v>113</v>
      </c>
      <c r="J19" s="411" t="s">
        <v>189</v>
      </c>
      <c r="K19" s="411" t="s">
        <v>190</v>
      </c>
      <c r="L19" s="411" t="s">
        <v>191</v>
      </c>
      <c r="M19" s="411" t="s">
        <v>192</v>
      </c>
      <c r="N19" s="411" t="s">
        <v>193</v>
      </c>
      <c r="O19" s="411" t="s">
        <v>194</v>
      </c>
      <c r="P19" s="411" t="s">
        <v>213</v>
      </c>
      <c r="Q19" s="411" t="s">
        <v>214</v>
      </c>
      <c r="R19" s="411" t="s">
        <v>215</v>
      </c>
      <c r="S19" s="411" t="s">
        <v>216</v>
      </c>
      <c r="T19" s="411" t="s">
        <v>217</v>
      </c>
      <c r="U19" s="411" t="s">
        <v>218</v>
      </c>
      <c r="V19" s="411" t="s">
        <v>220</v>
      </c>
      <c r="W19" s="411" t="s">
        <v>221</v>
      </c>
      <c r="X19" s="411" t="s">
        <v>222</v>
      </c>
      <c r="Y19" s="411" t="s">
        <v>223</v>
      </c>
      <c r="Z19" s="411" t="s">
        <v>224</v>
      </c>
      <c r="AA19" s="411" t="s">
        <v>225</v>
      </c>
      <c r="AB19" s="411" t="s">
        <v>227</v>
      </c>
      <c r="AC19" s="411" t="s">
        <v>228</v>
      </c>
      <c r="AD19" s="411" t="s">
        <v>229</v>
      </c>
      <c r="AE19" s="411" t="s">
        <v>230</v>
      </c>
      <c r="AF19" s="411" t="s">
        <v>231</v>
      </c>
      <c r="AG19" s="411" t="s">
        <v>232</v>
      </c>
      <c r="AH19" s="411" t="s">
        <v>233</v>
      </c>
      <c r="AI19" s="411" t="s">
        <v>234</v>
      </c>
      <c r="AJ19" s="411" t="s">
        <v>235</v>
      </c>
      <c r="AK19" s="411" t="s">
        <v>236</v>
      </c>
      <c r="AL19" s="411" t="s">
        <v>237</v>
      </c>
      <c r="AM19" s="411" t="s">
        <v>238</v>
      </c>
      <c r="AN19" s="411" t="s">
        <v>239</v>
      </c>
      <c r="AO19" s="411" t="s">
        <v>240</v>
      </c>
      <c r="AP19" s="411" t="s">
        <v>241</v>
      </c>
      <c r="AQ19" s="411" t="s">
        <v>242</v>
      </c>
      <c r="AR19" s="411" t="s">
        <v>243</v>
      </c>
      <c r="AS19" s="411" t="s">
        <v>244</v>
      </c>
      <c r="AT19" s="411" t="s">
        <v>245</v>
      </c>
      <c r="AU19" s="411" t="s">
        <v>246</v>
      </c>
      <c r="AV19" s="411" t="s">
        <v>247</v>
      </c>
      <c r="AW19" s="411" t="s">
        <v>248</v>
      </c>
      <c r="AX19" s="411" t="s">
        <v>249</v>
      </c>
      <c r="AY19" s="411" t="s">
        <v>250</v>
      </c>
      <c r="AZ19" s="411" t="s">
        <v>792</v>
      </c>
      <c r="BA19" s="411" t="s">
        <v>793</v>
      </c>
      <c r="BB19" s="411" t="s">
        <v>794</v>
      </c>
      <c r="BC19" s="411" t="s">
        <v>795</v>
      </c>
      <c r="BD19" s="411" t="s">
        <v>796</v>
      </c>
      <c r="BE19" s="411" t="s">
        <v>797</v>
      </c>
      <c r="BF19" s="411" t="s">
        <v>798</v>
      </c>
      <c r="BG19" s="411" t="s">
        <v>799</v>
      </c>
      <c r="BH19" s="411" t="s">
        <v>800</v>
      </c>
      <c r="BI19" s="411" t="s">
        <v>801</v>
      </c>
      <c r="BJ19" s="411" t="s">
        <v>802</v>
      </c>
      <c r="BK19" s="411" t="s">
        <v>803</v>
      </c>
      <c r="BL19" s="411" t="s">
        <v>804</v>
      </c>
      <c r="BM19" s="411" t="s">
        <v>805</v>
      </c>
      <c r="BN19" s="411" t="s">
        <v>806</v>
      </c>
      <c r="BO19" s="411" t="s">
        <v>807</v>
      </c>
      <c r="BP19" s="411" t="s">
        <v>808</v>
      </c>
      <c r="BQ19" s="411" t="s">
        <v>809</v>
      </c>
      <c r="BR19" s="411" t="s">
        <v>251</v>
      </c>
      <c r="BS19" s="411" t="s">
        <v>252</v>
      </c>
      <c r="BT19" s="411" t="s">
        <v>253</v>
      </c>
      <c r="BU19" s="411" t="s">
        <v>254</v>
      </c>
      <c r="BV19" s="411" t="s">
        <v>255</v>
      </c>
      <c r="BW19" s="411" t="s">
        <v>256</v>
      </c>
      <c r="BX19" s="411" t="s">
        <v>102</v>
      </c>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row>
    <row r="20" spans="1:118" s="413" customFormat="1" ht="51" x14ac:dyDescent="0.25">
      <c r="A20" s="375" t="s">
        <v>711</v>
      </c>
      <c r="B20" s="376" t="s">
        <v>684</v>
      </c>
      <c r="C20" s="393" t="s">
        <v>621</v>
      </c>
      <c r="D20" s="393" t="s">
        <v>621</v>
      </c>
      <c r="E20" s="393" t="s">
        <v>621</v>
      </c>
      <c r="F20" s="393" t="s">
        <v>621</v>
      </c>
      <c r="G20" s="393" t="s">
        <v>621</v>
      </c>
      <c r="H20" s="393" t="s">
        <v>621</v>
      </c>
      <c r="I20" s="393" t="s">
        <v>621</v>
      </c>
      <c r="J20" s="393" t="s">
        <v>621</v>
      </c>
      <c r="K20" s="393" t="s">
        <v>621</v>
      </c>
      <c r="L20" s="393" t="s">
        <v>621</v>
      </c>
      <c r="M20" s="393" t="s">
        <v>621</v>
      </c>
      <c r="N20" s="393" t="s">
        <v>621</v>
      </c>
      <c r="O20" s="393" t="s">
        <v>621</v>
      </c>
      <c r="P20" s="393" t="s">
        <v>621</v>
      </c>
      <c r="Q20" s="393">
        <f>Q21</f>
        <v>1.6</v>
      </c>
      <c r="R20" s="393" t="s">
        <v>621</v>
      </c>
      <c r="S20" s="390">
        <v>4.6820000000000004</v>
      </c>
      <c r="T20" s="393" t="s">
        <v>621</v>
      </c>
      <c r="U20" s="393">
        <f>U21</f>
        <v>28</v>
      </c>
      <c r="V20" s="393" t="s">
        <v>621</v>
      </c>
      <c r="W20" s="393">
        <f>W21</f>
        <v>1.6</v>
      </c>
      <c r="X20" s="393" t="s">
        <v>621</v>
      </c>
      <c r="Y20" s="393">
        <f>Y21</f>
        <v>4.6820000000000004</v>
      </c>
      <c r="Z20" s="393" t="s">
        <v>621</v>
      </c>
      <c r="AA20" s="393">
        <f>AA21</f>
        <v>28</v>
      </c>
      <c r="AB20" s="393" t="s">
        <v>621</v>
      </c>
      <c r="AC20" s="393">
        <f>AC21</f>
        <v>0.8</v>
      </c>
      <c r="AD20" s="393" t="s">
        <v>621</v>
      </c>
      <c r="AE20" s="377">
        <f>AE21</f>
        <v>6.32</v>
      </c>
      <c r="AF20" s="393" t="s">
        <v>621</v>
      </c>
      <c r="AG20" s="393">
        <f>AG21</f>
        <v>15</v>
      </c>
      <c r="AH20" s="393" t="s">
        <v>621</v>
      </c>
      <c r="AI20" s="393" t="e">
        <f>AI21</f>
        <v>#VALUE!</v>
      </c>
      <c r="AJ20" s="393" t="s">
        <v>621</v>
      </c>
      <c r="AK20" s="393">
        <f>AK21</f>
        <v>19.243400000000001</v>
      </c>
      <c r="AL20" s="393" t="s">
        <v>621</v>
      </c>
      <c r="AM20" s="393">
        <f>AM21</f>
        <v>18</v>
      </c>
      <c r="AN20" s="393" t="s">
        <v>621</v>
      </c>
      <c r="AO20" s="393">
        <f>AO21</f>
        <v>2.06</v>
      </c>
      <c r="AP20" s="393" t="s">
        <v>621</v>
      </c>
      <c r="AQ20" s="377">
        <f>AQ21</f>
        <v>3.875</v>
      </c>
      <c r="AR20" s="393" t="s">
        <v>621</v>
      </c>
      <c r="AS20" s="393">
        <f>AS21</f>
        <v>38</v>
      </c>
      <c r="AT20" s="393" t="s">
        <v>621</v>
      </c>
      <c r="AU20" s="393">
        <f>AU21</f>
        <v>1.26</v>
      </c>
      <c r="AV20" s="393" t="s">
        <v>621</v>
      </c>
      <c r="AW20" s="393">
        <f>AW21</f>
        <v>8.2680000000000007</v>
      </c>
      <c r="AX20" s="393" t="s">
        <v>621</v>
      </c>
      <c r="AY20" s="393">
        <f>AY21</f>
        <v>42</v>
      </c>
      <c r="AZ20" s="393" t="s">
        <v>621</v>
      </c>
      <c r="BA20" s="393">
        <f>BA21</f>
        <v>6.87</v>
      </c>
      <c r="BB20" s="393" t="s">
        <v>621</v>
      </c>
      <c r="BC20" s="377">
        <f>BC21</f>
        <v>4.8949999999999996</v>
      </c>
      <c r="BD20" s="393" t="s">
        <v>621</v>
      </c>
      <c r="BE20" s="393" t="s">
        <v>621</v>
      </c>
      <c r="BF20" s="393" t="s">
        <v>621</v>
      </c>
      <c r="BG20" s="393">
        <f>BG21</f>
        <v>6.87</v>
      </c>
      <c r="BH20" s="393" t="s">
        <v>621</v>
      </c>
      <c r="BI20" s="393">
        <f>BI21</f>
        <v>4.8949999999999996</v>
      </c>
      <c r="BJ20" s="393" t="s">
        <v>621</v>
      </c>
      <c r="BK20" s="393" t="s">
        <v>621</v>
      </c>
      <c r="BL20" s="393" t="s">
        <v>621</v>
      </c>
      <c r="BM20" s="393" t="s">
        <v>621</v>
      </c>
      <c r="BN20" s="393" t="s">
        <v>621</v>
      </c>
      <c r="BO20" s="377">
        <f>BO21</f>
        <v>3.1389999999999998</v>
      </c>
      <c r="BP20" s="393" t="s">
        <v>621</v>
      </c>
      <c r="BQ20" s="393">
        <f>BQ21</f>
        <v>36</v>
      </c>
      <c r="BR20" s="393" t="s">
        <v>621</v>
      </c>
      <c r="BS20" s="393" t="s">
        <v>621</v>
      </c>
      <c r="BT20" s="393" t="s">
        <v>621</v>
      </c>
      <c r="BU20" s="393">
        <f>BU21</f>
        <v>3.1389999999999998</v>
      </c>
      <c r="BV20" s="393" t="s">
        <v>621</v>
      </c>
      <c r="BW20" s="393">
        <f>BW21</f>
        <v>36</v>
      </c>
      <c r="BX20" s="395" t="s">
        <v>621</v>
      </c>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row>
    <row r="21" spans="1:118" s="416" customFormat="1" ht="76.5" x14ac:dyDescent="0.25">
      <c r="A21" s="378" t="s">
        <v>713</v>
      </c>
      <c r="B21" s="394" t="s">
        <v>686</v>
      </c>
      <c r="C21" s="395" t="s">
        <v>621</v>
      </c>
      <c r="D21" s="395" t="s">
        <v>621</v>
      </c>
      <c r="E21" s="395" t="s">
        <v>621</v>
      </c>
      <c r="F21" s="395" t="s">
        <v>621</v>
      </c>
      <c r="G21" s="395" t="s">
        <v>621</v>
      </c>
      <c r="H21" s="395" t="s">
        <v>621</v>
      </c>
      <c r="I21" s="395" t="s">
        <v>621</v>
      </c>
      <c r="J21" s="395" t="s">
        <v>621</v>
      </c>
      <c r="K21" s="395" t="s">
        <v>621</v>
      </c>
      <c r="L21" s="395" t="s">
        <v>621</v>
      </c>
      <c r="M21" s="395" t="s">
        <v>621</v>
      </c>
      <c r="N21" s="395" t="s">
        <v>621</v>
      </c>
      <c r="O21" s="395" t="s">
        <v>621</v>
      </c>
      <c r="P21" s="395" t="s">
        <v>621</v>
      </c>
      <c r="Q21" s="395">
        <f>Q22</f>
        <v>1.6</v>
      </c>
      <c r="R21" s="395" t="s">
        <v>621</v>
      </c>
      <c r="S21" s="385">
        <v>4.6820000000000004</v>
      </c>
      <c r="T21" s="395" t="s">
        <v>621</v>
      </c>
      <c r="U21" s="395">
        <f>U22</f>
        <v>28</v>
      </c>
      <c r="V21" s="395" t="s">
        <v>621</v>
      </c>
      <c r="W21" s="395">
        <f>W22</f>
        <v>1.6</v>
      </c>
      <c r="X21" s="395" t="s">
        <v>621</v>
      </c>
      <c r="Y21" s="395">
        <f>Y22</f>
        <v>4.6820000000000004</v>
      </c>
      <c r="Z21" s="395" t="s">
        <v>621</v>
      </c>
      <c r="AA21" s="395">
        <v>28</v>
      </c>
      <c r="AB21" s="395" t="s">
        <v>621</v>
      </c>
      <c r="AC21" s="395">
        <f>AC22</f>
        <v>0.8</v>
      </c>
      <c r="AD21" s="395" t="s">
        <v>621</v>
      </c>
      <c r="AE21" s="348">
        <f>AE22</f>
        <v>6.32</v>
      </c>
      <c r="AF21" s="395" t="s">
        <v>621</v>
      </c>
      <c r="AG21" s="395">
        <f>AG22</f>
        <v>15</v>
      </c>
      <c r="AH21" s="395" t="s">
        <v>621</v>
      </c>
      <c r="AI21" s="395" t="e">
        <f>AI22</f>
        <v>#VALUE!</v>
      </c>
      <c r="AJ21" s="395" t="s">
        <v>621</v>
      </c>
      <c r="AK21" s="395">
        <f>AK22</f>
        <v>19.243400000000001</v>
      </c>
      <c r="AL21" s="395" t="s">
        <v>621</v>
      </c>
      <c r="AM21" s="395">
        <f>AM22</f>
        <v>18</v>
      </c>
      <c r="AN21" s="395" t="s">
        <v>621</v>
      </c>
      <c r="AO21" s="395">
        <f>AO22</f>
        <v>2.06</v>
      </c>
      <c r="AP21" s="395" t="s">
        <v>621</v>
      </c>
      <c r="AQ21" s="348">
        <f>AQ22</f>
        <v>3.875</v>
      </c>
      <c r="AR21" s="395" t="s">
        <v>621</v>
      </c>
      <c r="AS21" s="395">
        <f>AS22</f>
        <v>38</v>
      </c>
      <c r="AT21" s="395" t="s">
        <v>621</v>
      </c>
      <c r="AU21" s="395">
        <f>AU22</f>
        <v>1.26</v>
      </c>
      <c r="AV21" s="395" t="s">
        <v>621</v>
      </c>
      <c r="AW21" s="395">
        <f>AW22</f>
        <v>8.2680000000000007</v>
      </c>
      <c r="AX21" s="395" t="s">
        <v>621</v>
      </c>
      <c r="AY21" s="395">
        <f>AY22</f>
        <v>42</v>
      </c>
      <c r="AZ21" s="395" t="s">
        <v>621</v>
      </c>
      <c r="BA21" s="395">
        <f>BA22</f>
        <v>6.87</v>
      </c>
      <c r="BB21" s="395" t="s">
        <v>621</v>
      </c>
      <c r="BC21" s="348">
        <f>BC22</f>
        <v>4.8949999999999996</v>
      </c>
      <c r="BD21" s="395" t="s">
        <v>621</v>
      </c>
      <c r="BE21" s="395" t="s">
        <v>621</v>
      </c>
      <c r="BF21" s="395" t="s">
        <v>621</v>
      </c>
      <c r="BG21" s="395">
        <f>BG22</f>
        <v>6.87</v>
      </c>
      <c r="BH21" s="395" t="s">
        <v>621</v>
      </c>
      <c r="BI21" s="395">
        <f>BI22</f>
        <v>4.8949999999999996</v>
      </c>
      <c r="BJ21" s="395" t="s">
        <v>621</v>
      </c>
      <c r="BK21" s="395" t="s">
        <v>621</v>
      </c>
      <c r="BL21" s="395" t="s">
        <v>621</v>
      </c>
      <c r="BM21" s="395" t="s">
        <v>621</v>
      </c>
      <c r="BN21" s="395" t="s">
        <v>621</v>
      </c>
      <c r="BO21" s="348">
        <f>BO22</f>
        <v>3.1389999999999998</v>
      </c>
      <c r="BP21" s="395" t="s">
        <v>621</v>
      </c>
      <c r="BQ21" s="395">
        <f>BQ22</f>
        <v>36</v>
      </c>
      <c r="BR21" s="395" t="s">
        <v>621</v>
      </c>
      <c r="BS21" s="395" t="s">
        <v>621</v>
      </c>
      <c r="BT21" s="395" t="s">
        <v>621</v>
      </c>
      <c r="BU21" s="395">
        <f>BU22</f>
        <v>3.1389999999999998</v>
      </c>
      <c r="BV21" s="395" t="s">
        <v>621</v>
      </c>
      <c r="BW21" s="395">
        <f>BW22</f>
        <v>36</v>
      </c>
      <c r="BX21" s="395" t="s">
        <v>621</v>
      </c>
    </row>
    <row r="22" spans="1:118" s="416" customFormat="1" ht="26.25" x14ac:dyDescent="0.25">
      <c r="A22" s="380" t="s">
        <v>537</v>
      </c>
      <c r="B22" s="400" t="s">
        <v>691</v>
      </c>
      <c r="C22" s="395" t="s">
        <v>621</v>
      </c>
      <c r="D22" s="395" t="s">
        <v>621</v>
      </c>
      <c r="E22" s="395" t="s">
        <v>621</v>
      </c>
      <c r="F22" s="395" t="s">
        <v>621</v>
      </c>
      <c r="G22" s="395" t="s">
        <v>621</v>
      </c>
      <c r="H22" s="395" t="s">
        <v>621</v>
      </c>
      <c r="I22" s="395" t="s">
        <v>621</v>
      </c>
      <c r="J22" s="395" t="s">
        <v>621</v>
      </c>
      <c r="K22" s="395" t="s">
        <v>621</v>
      </c>
      <c r="L22" s="395" t="s">
        <v>621</v>
      </c>
      <c r="M22" s="395" t="s">
        <v>621</v>
      </c>
      <c r="N22" s="395" t="s">
        <v>621</v>
      </c>
      <c r="O22" s="395" t="s">
        <v>621</v>
      </c>
      <c r="P22" s="395" t="s">
        <v>621</v>
      </c>
      <c r="Q22" s="395">
        <f>Q53</f>
        <v>1.6</v>
      </c>
      <c r="R22" s="395" t="s">
        <v>621</v>
      </c>
      <c r="S22" s="385">
        <v>4.6820000000000004</v>
      </c>
      <c r="T22" s="395" t="s">
        <v>621</v>
      </c>
      <c r="U22" s="395">
        <f>U53</f>
        <v>28</v>
      </c>
      <c r="V22" s="395" t="s">
        <v>621</v>
      </c>
      <c r="W22" s="395">
        <f>W53</f>
        <v>1.6</v>
      </c>
      <c r="X22" s="395" t="s">
        <v>621</v>
      </c>
      <c r="Y22" s="395">
        <f>Y23</f>
        <v>4.6820000000000004</v>
      </c>
      <c r="Z22" s="395" t="s">
        <v>621</v>
      </c>
      <c r="AA22" s="395">
        <v>28</v>
      </c>
      <c r="AB22" s="395" t="s">
        <v>621</v>
      </c>
      <c r="AC22" s="395">
        <f>AC53</f>
        <v>0.8</v>
      </c>
      <c r="AD22" s="395" t="s">
        <v>621</v>
      </c>
      <c r="AE22" s="348">
        <f>AE23</f>
        <v>6.32</v>
      </c>
      <c r="AF22" s="395" t="s">
        <v>621</v>
      </c>
      <c r="AG22" s="395">
        <f>AG53</f>
        <v>15</v>
      </c>
      <c r="AH22" s="395" t="s">
        <v>621</v>
      </c>
      <c r="AI22" s="395" t="e">
        <f>AI53</f>
        <v>#VALUE!</v>
      </c>
      <c r="AJ22" s="395" t="s">
        <v>621</v>
      </c>
      <c r="AK22" s="395">
        <f>AK23</f>
        <v>19.243400000000001</v>
      </c>
      <c r="AL22" s="395" t="s">
        <v>621</v>
      </c>
      <c r="AM22" s="395">
        <f>AM53</f>
        <v>18</v>
      </c>
      <c r="AN22" s="395" t="s">
        <v>621</v>
      </c>
      <c r="AO22" s="395">
        <f>AO53</f>
        <v>2.06</v>
      </c>
      <c r="AP22" s="395" t="s">
        <v>621</v>
      </c>
      <c r="AQ22" s="348">
        <f>AQ23</f>
        <v>3.875</v>
      </c>
      <c r="AR22" s="395" t="s">
        <v>621</v>
      </c>
      <c r="AS22" s="395">
        <f>AS53</f>
        <v>38</v>
      </c>
      <c r="AT22" s="395" t="s">
        <v>621</v>
      </c>
      <c r="AU22" s="395">
        <f>AU53</f>
        <v>1.26</v>
      </c>
      <c r="AV22" s="395" t="s">
        <v>621</v>
      </c>
      <c r="AW22" s="395">
        <f>AW23</f>
        <v>8.2680000000000007</v>
      </c>
      <c r="AX22" s="395" t="s">
        <v>621</v>
      </c>
      <c r="AY22" s="395">
        <f>AY53</f>
        <v>42</v>
      </c>
      <c r="AZ22" s="395" t="s">
        <v>621</v>
      </c>
      <c r="BA22" s="395">
        <f>BA53</f>
        <v>6.87</v>
      </c>
      <c r="BB22" s="395" t="s">
        <v>621</v>
      </c>
      <c r="BC22" s="348">
        <f>BC23</f>
        <v>4.8949999999999996</v>
      </c>
      <c r="BD22" s="395" t="s">
        <v>621</v>
      </c>
      <c r="BE22" s="395" t="s">
        <v>621</v>
      </c>
      <c r="BF22" s="395" t="s">
        <v>621</v>
      </c>
      <c r="BG22" s="395">
        <f>BG53</f>
        <v>6.87</v>
      </c>
      <c r="BH22" s="395" t="s">
        <v>621</v>
      </c>
      <c r="BI22" s="395">
        <f>BI23</f>
        <v>4.8949999999999996</v>
      </c>
      <c r="BJ22" s="395" t="s">
        <v>621</v>
      </c>
      <c r="BK22" s="395" t="s">
        <v>621</v>
      </c>
      <c r="BL22" s="395" t="s">
        <v>621</v>
      </c>
      <c r="BM22" s="395" t="s">
        <v>621</v>
      </c>
      <c r="BN22" s="395" t="s">
        <v>621</v>
      </c>
      <c r="BO22" s="348">
        <f>BO23</f>
        <v>3.1389999999999998</v>
      </c>
      <c r="BP22" s="395" t="s">
        <v>621</v>
      </c>
      <c r="BQ22" s="395">
        <f>BQ53</f>
        <v>36</v>
      </c>
      <c r="BR22" s="395" t="s">
        <v>621</v>
      </c>
      <c r="BS22" s="395" t="s">
        <v>621</v>
      </c>
      <c r="BT22" s="395" t="s">
        <v>621</v>
      </c>
      <c r="BU22" s="395">
        <f>BU23</f>
        <v>3.1389999999999998</v>
      </c>
      <c r="BV22" s="395" t="s">
        <v>621</v>
      </c>
      <c r="BW22" s="395">
        <f>BW53</f>
        <v>36</v>
      </c>
      <c r="BX22" s="395" t="s">
        <v>621</v>
      </c>
    </row>
    <row r="23" spans="1:118" s="416" customFormat="1" ht="102" x14ac:dyDescent="0.25">
      <c r="A23" s="383" t="s">
        <v>545</v>
      </c>
      <c r="B23" s="396" t="s">
        <v>697</v>
      </c>
      <c r="C23" s="397" t="s">
        <v>621</v>
      </c>
      <c r="D23" s="397" t="s">
        <v>621</v>
      </c>
      <c r="E23" s="397" t="s">
        <v>621</v>
      </c>
      <c r="F23" s="397" t="s">
        <v>621</v>
      </c>
      <c r="G23" s="397" t="s">
        <v>621</v>
      </c>
      <c r="H23" s="397" t="s">
        <v>621</v>
      </c>
      <c r="I23" s="397" t="s">
        <v>621</v>
      </c>
      <c r="J23" s="397" t="s">
        <v>621</v>
      </c>
      <c r="K23" s="397" t="s">
        <v>621</v>
      </c>
      <c r="L23" s="397" t="s">
        <v>621</v>
      </c>
      <c r="M23" s="397" t="s">
        <v>621</v>
      </c>
      <c r="N23" s="397" t="s">
        <v>621</v>
      </c>
      <c r="O23" s="397" t="s">
        <v>621</v>
      </c>
      <c r="P23" s="397" t="s">
        <v>621</v>
      </c>
      <c r="Q23" s="397" t="s">
        <v>621</v>
      </c>
      <c r="R23" s="397" t="s">
        <v>621</v>
      </c>
      <c r="S23" s="417">
        <v>4.6820000000000004</v>
      </c>
      <c r="T23" s="397" t="s">
        <v>621</v>
      </c>
      <c r="U23" s="397" t="s">
        <v>621</v>
      </c>
      <c r="V23" s="397" t="s">
        <v>621</v>
      </c>
      <c r="W23" s="397" t="s">
        <v>621</v>
      </c>
      <c r="X23" s="397" t="s">
        <v>621</v>
      </c>
      <c r="Y23" s="397">
        <f>Y24</f>
        <v>4.6820000000000004</v>
      </c>
      <c r="Z23" s="397" t="s">
        <v>621</v>
      </c>
      <c r="AA23" s="397" t="s">
        <v>621</v>
      </c>
      <c r="AB23" s="397" t="s">
        <v>621</v>
      </c>
      <c r="AC23" s="397" t="s">
        <v>621</v>
      </c>
      <c r="AD23" s="397" t="s">
        <v>621</v>
      </c>
      <c r="AE23" s="397">
        <f>AE24</f>
        <v>6.32</v>
      </c>
      <c r="AF23" s="397" t="s">
        <v>621</v>
      </c>
      <c r="AG23" s="397" t="s">
        <v>621</v>
      </c>
      <c r="AH23" s="397" t="s">
        <v>621</v>
      </c>
      <c r="AI23" s="397" t="s">
        <v>621</v>
      </c>
      <c r="AJ23" s="397" t="s">
        <v>621</v>
      </c>
      <c r="AK23" s="397">
        <f>AK24</f>
        <v>19.243400000000001</v>
      </c>
      <c r="AL23" s="397" t="s">
        <v>621</v>
      </c>
      <c r="AM23" s="397" t="s">
        <v>621</v>
      </c>
      <c r="AN23" s="397" t="s">
        <v>621</v>
      </c>
      <c r="AO23" s="397" t="s">
        <v>621</v>
      </c>
      <c r="AP23" s="397" t="s">
        <v>621</v>
      </c>
      <c r="AQ23" s="418">
        <f>AQ24</f>
        <v>3.875</v>
      </c>
      <c r="AR23" s="397" t="s">
        <v>621</v>
      </c>
      <c r="AS23" s="397" t="s">
        <v>621</v>
      </c>
      <c r="AT23" s="397" t="s">
        <v>621</v>
      </c>
      <c r="AU23" s="397" t="s">
        <v>621</v>
      </c>
      <c r="AV23" s="397" t="s">
        <v>621</v>
      </c>
      <c r="AW23" s="397">
        <f>AW24</f>
        <v>8.2680000000000007</v>
      </c>
      <c r="AX23" s="397" t="s">
        <v>621</v>
      </c>
      <c r="AY23" s="397" t="s">
        <v>621</v>
      </c>
      <c r="AZ23" s="397" t="s">
        <v>621</v>
      </c>
      <c r="BA23" s="397" t="s">
        <v>621</v>
      </c>
      <c r="BB23" s="397" t="s">
        <v>621</v>
      </c>
      <c r="BC23" s="397">
        <f>BC24</f>
        <v>4.8949999999999996</v>
      </c>
      <c r="BD23" s="397" t="s">
        <v>621</v>
      </c>
      <c r="BE23" s="397" t="s">
        <v>621</v>
      </c>
      <c r="BF23" s="397" t="s">
        <v>621</v>
      </c>
      <c r="BG23" s="397" t="s">
        <v>621</v>
      </c>
      <c r="BH23" s="397" t="s">
        <v>621</v>
      </c>
      <c r="BI23" s="397">
        <f>BI24</f>
        <v>4.8949999999999996</v>
      </c>
      <c r="BJ23" s="397" t="s">
        <v>621</v>
      </c>
      <c r="BK23" s="397" t="s">
        <v>621</v>
      </c>
      <c r="BL23" s="397" t="s">
        <v>621</v>
      </c>
      <c r="BM23" s="397" t="s">
        <v>621</v>
      </c>
      <c r="BN23" s="397" t="s">
        <v>621</v>
      </c>
      <c r="BO23" s="384">
        <f>BO24</f>
        <v>3.1389999999999998</v>
      </c>
      <c r="BP23" s="397" t="s">
        <v>621</v>
      </c>
      <c r="BQ23" s="397" t="s">
        <v>621</v>
      </c>
      <c r="BR23" s="397" t="s">
        <v>621</v>
      </c>
      <c r="BS23" s="397" t="s">
        <v>621</v>
      </c>
      <c r="BT23" s="397" t="s">
        <v>621</v>
      </c>
      <c r="BU23" s="397">
        <f>BU24</f>
        <v>3.1389999999999998</v>
      </c>
      <c r="BV23" s="397" t="s">
        <v>621</v>
      </c>
      <c r="BW23" s="397" t="s">
        <v>621</v>
      </c>
      <c r="BX23" s="395" t="s">
        <v>621</v>
      </c>
    </row>
    <row r="24" spans="1:118" s="416" customFormat="1" ht="52.5" x14ac:dyDescent="0.25">
      <c r="A24" s="380" t="s">
        <v>595</v>
      </c>
      <c r="B24" s="400" t="s">
        <v>746</v>
      </c>
      <c r="C24" s="395" t="s">
        <v>621</v>
      </c>
      <c r="D24" s="395" t="s">
        <v>621</v>
      </c>
      <c r="E24" s="395" t="s">
        <v>621</v>
      </c>
      <c r="F24" s="395" t="s">
        <v>621</v>
      </c>
      <c r="G24" s="395" t="s">
        <v>621</v>
      </c>
      <c r="H24" s="395" t="s">
        <v>621</v>
      </c>
      <c r="I24" s="395" t="s">
        <v>621</v>
      </c>
      <c r="J24" s="395" t="s">
        <v>621</v>
      </c>
      <c r="K24" s="395" t="s">
        <v>621</v>
      </c>
      <c r="L24" s="395" t="s">
        <v>621</v>
      </c>
      <c r="M24" s="395" t="s">
        <v>621</v>
      </c>
      <c r="N24" s="395" t="s">
        <v>621</v>
      </c>
      <c r="O24" s="395" t="s">
        <v>621</v>
      </c>
      <c r="P24" s="395" t="s">
        <v>621</v>
      </c>
      <c r="Q24" s="395" t="s">
        <v>621</v>
      </c>
      <c r="R24" s="395" t="s">
        <v>621</v>
      </c>
      <c r="S24" s="385">
        <v>4.6820000000000004</v>
      </c>
      <c r="T24" s="395" t="s">
        <v>621</v>
      </c>
      <c r="U24" s="395" t="s">
        <v>621</v>
      </c>
      <c r="V24" s="395" t="s">
        <v>621</v>
      </c>
      <c r="W24" s="395" t="s">
        <v>621</v>
      </c>
      <c r="X24" s="395" t="s">
        <v>621</v>
      </c>
      <c r="Y24" s="395">
        <f>SUM(Y25:Y27)</f>
        <v>4.6820000000000004</v>
      </c>
      <c r="Z24" s="395" t="s">
        <v>621</v>
      </c>
      <c r="AA24" s="395" t="s">
        <v>621</v>
      </c>
      <c r="AB24" s="395" t="s">
        <v>621</v>
      </c>
      <c r="AC24" s="395" t="s">
        <v>621</v>
      </c>
      <c r="AD24" s="395" t="s">
        <v>621</v>
      </c>
      <c r="AE24" s="395">
        <f>SUM(AE28:AE30)</f>
        <v>6.32</v>
      </c>
      <c r="AF24" s="395" t="s">
        <v>621</v>
      </c>
      <c r="AG24" s="395" t="s">
        <v>621</v>
      </c>
      <c r="AH24" s="395" t="s">
        <v>621</v>
      </c>
      <c r="AI24" s="395" t="s">
        <v>621</v>
      </c>
      <c r="AJ24" s="395" t="s">
        <v>621</v>
      </c>
      <c r="AK24" s="395">
        <f>SUM(AK28:AK48)</f>
        <v>19.243400000000001</v>
      </c>
      <c r="AL24" s="395" t="s">
        <v>621</v>
      </c>
      <c r="AM24" s="395" t="s">
        <v>621</v>
      </c>
      <c r="AN24" s="395" t="s">
        <v>621</v>
      </c>
      <c r="AO24" s="395" t="s">
        <v>621</v>
      </c>
      <c r="AP24" s="395" t="s">
        <v>621</v>
      </c>
      <c r="AQ24" s="419">
        <f>SUM(AQ31:AQ32)</f>
        <v>3.875</v>
      </c>
      <c r="AR24" s="395" t="s">
        <v>621</v>
      </c>
      <c r="AS24" s="395" t="s">
        <v>621</v>
      </c>
      <c r="AT24" s="395" t="s">
        <v>621</v>
      </c>
      <c r="AU24" s="395" t="s">
        <v>621</v>
      </c>
      <c r="AV24" s="395" t="s">
        <v>621</v>
      </c>
      <c r="AW24" s="395">
        <f>SUM(AW31:AW49)</f>
        <v>8.2680000000000007</v>
      </c>
      <c r="AX24" s="395" t="s">
        <v>621</v>
      </c>
      <c r="AY24" s="395" t="s">
        <v>621</v>
      </c>
      <c r="AZ24" s="395" t="s">
        <v>621</v>
      </c>
      <c r="BA24" s="395" t="s">
        <v>621</v>
      </c>
      <c r="BB24" s="395" t="s">
        <v>621</v>
      </c>
      <c r="BC24" s="395">
        <f>SUM(BC33:BC33)</f>
        <v>4.8949999999999996</v>
      </c>
      <c r="BD24" s="395" t="s">
        <v>621</v>
      </c>
      <c r="BE24" s="395" t="s">
        <v>621</v>
      </c>
      <c r="BF24" s="395" t="s">
        <v>621</v>
      </c>
      <c r="BG24" s="395" t="s">
        <v>621</v>
      </c>
      <c r="BH24" s="395" t="s">
        <v>621</v>
      </c>
      <c r="BI24" s="395">
        <f>SUM(BI33:BI33)</f>
        <v>4.8949999999999996</v>
      </c>
      <c r="BJ24" s="395" t="s">
        <v>621</v>
      </c>
      <c r="BK24" s="395" t="s">
        <v>621</v>
      </c>
      <c r="BL24" s="395" t="s">
        <v>621</v>
      </c>
      <c r="BM24" s="395" t="s">
        <v>621</v>
      </c>
      <c r="BN24" s="395" t="s">
        <v>621</v>
      </c>
      <c r="BO24" s="348">
        <f>SUM(BO34:BO36)</f>
        <v>3.1389999999999998</v>
      </c>
      <c r="BP24" s="395" t="s">
        <v>621</v>
      </c>
      <c r="BQ24" s="395" t="s">
        <v>621</v>
      </c>
      <c r="BR24" s="395" t="s">
        <v>621</v>
      </c>
      <c r="BS24" s="395" t="s">
        <v>621</v>
      </c>
      <c r="BT24" s="395" t="s">
        <v>621</v>
      </c>
      <c r="BU24" s="395">
        <f>SUM(BU34:BU36)</f>
        <v>3.1389999999999998</v>
      </c>
      <c r="BV24" s="395" t="s">
        <v>621</v>
      </c>
      <c r="BW24" s="395" t="s">
        <v>621</v>
      </c>
      <c r="BX24" s="395" t="s">
        <v>621</v>
      </c>
    </row>
    <row r="25" spans="1:118" s="416" customFormat="1" ht="78.75" x14ac:dyDescent="0.25">
      <c r="A25" s="380" t="s">
        <v>814</v>
      </c>
      <c r="B25" s="400" t="s">
        <v>815</v>
      </c>
      <c r="C25" s="395" t="s">
        <v>1044</v>
      </c>
      <c r="D25" s="395" t="s">
        <v>621</v>
      </c>
      <c r="E25" s="395" t="s">
        <v>621</v>
      </c>
      <c r="F25" s="395" t="s">
        <v>621</v>
      </c>
      <c r="G25" s="395" t="s">
        <v>621</v>
      </c>
      <c r="H25" s="395" t="s">
        <v>621</v>
      </c>
      <c r="I25" s="395" t="s">
        <v>621</v>
      </c>
      <c r="J25" s="395" t="s">
        <v>621</v>
      </c>
      <c r="K25" s="395" t="s">
        <v>621</v>
      </c>
      <c r="L25" s="395" t="s">
        <v>621</v>
      </c>
      <c r="M25" s="395" t="s">
        <v>621</v>
      </c>
      <c r="N25" s="395" t="s">
        <v>621</v>
      </c>
      <c r="O25" s="395" t="s">
        <v>621</v>
      </c>
      <c r="P25" s="395" t="s">
        <v>825</v>
      </c>
      <c r="Q25" s="395" t="s">
        <v>621</v>
      </c>
      <c r="R25" s="395" t="s">
        <v>621</v>
      </c>
      <c r="S25" s="385">
        <v>1.3</v>
      </c>
      <c r="T25" s="395" t="s">
        <v>621</v>
      </c>
      <c r="U25" s="395" t="s">
        <v>621</v>
      </c>
      <c r="V25" s="395" t="s">
        <v>825</v>
      </c>
      <c r="W25" s="395" t="s">
        <v>621</v>
      </c>
      <c r="X25" s="395" t="s">
        <v>621</v>
      </c>
      <c r="Y25" s="395">
        <v>1.3</v>
      </c>
      <c r="Z25" s="395" t="s">
        <v>621</v>
      </c>
      <c r="AA25" s="395" t="s">
        <v>621</v>
      </c>
      <c r="AB25" s="395" t="s">
        <v>621</v>
      </c>
      <c r="AC25" s="395" t="s">
        <v>621</v>
      </c>
      <c r="AD25" s="395" t="s">
        <v>621</v>
      </c>
      <c r="AE25" s="395">
        <v>0</v>
      </c>
      <c r="AF25" s="395" t="s">
        <v>621</v>
      </c>
      <c r="AG25" s="395" t="s">
        <v>621</v>
      </c>
      <c r="AH25" s="395" t="s">
        <v>621</v>
      </c>
      <c r="AI25" s="395" t="s">
        <v>621</v>
      </c>
      <c r="AJ25" s="395" t="s">
        <v>621</v>
      </c>
      <c r="AK25" s="395">
        <v>0</v>
      </c>
      <c r="AL25" s="395" t="s">
        <v>621</v>
      </c>
      <c r="AM25" s="395" t="s">
        <v>621</v>
      </c>
      <c r="AN25" s="395" t="s">
        <v>621</v>
      </c>
      <c r="AO25" s="395" t="s">
        <v>621</v>
      </c>
      <c r="AP25" s="395" t="s">
        <v>621</v>
      </c>
      <c r="AQ25" s="395">
        <v>0</v>
      </c>
      <c r="AR25" s="395" t="s">
        <v>621</v>
      </c>
      <c r="AS25" s="395" t="s">
        <v>621</v>
      </c>
      <c r="AT25" s="395" t="s">
        <v>621</v>
      </c>
      <c r="AU25" s="395" t="s">
        <v>621</v>
      </c>
      <c r="AV25" s="395" t="s">
        <v>621</v>
      </c>
      <c r="AW25" s="395">
        <v>0</v>
      </c>
      <c r="AX25" s="395" t="s">
        <v>621</v>
      </c>
      <c r="AY25" s="395" t="s">
        <v>621</v>
      </c>
      <c r="AZ25" s="395" t="s">
        <v>621</v>
      </c>
      <c r="BA25" s="395" t="s">
        <v>621</v>
      </c>
      <c r="BB25" s="395" t="s">
        <v>621</v>
      </c>
      <c r="BC25" s="395">
        <v>0</v>
      </c>
      <c r="BD25" s="395" t="s">
        <v>621</v>
      </c>
      <c r="BE25" s="395" t="s">
        <v>621</v>
      </c>
      <c r="BF25" s="395" t="s">
        <v>621</v>
      </c>
      <c r="BG25" s="395" t="s">
        <v>621</v>
      </c>
      <c r="BH25" s="395" t="s">
        <v>621</v>
      </c>
      <c r="BI25" s="395">
        <v>0</v>
      </c>
      <c r="BJ25" s="395" t="s">
        <v>621</v>
      </c>
      <c r="BK25" s="395" t="s">
        <v>621</v>
      </c>
      <c r="BL25" s="395" t="s">
        <v>621</v>
      </c>
      <c r="BM25" s="395" t="s">
        <v>621</v>
      </c>
      <c r="BN25" s="395" t="s">
        <v>621</v>
      </c>
      <c r="BO25" s="395">
        <v>0</v>
      </c>
      <c r="BP25" s="395" t="s">
        <v>621</v>
      </c>
      <c r="BQ25" s="395" t="s">
        <v>621</v>
      </c>
      <c r="BR25" s="395" t="s">
        <v>621</v>
      </c>
      <c r="BS25" s="395" t="s">
        <v>621</v>
      </c>
      <c r="BT25" s="395" t="s">
        <v>621</v>
      </c>
      <c r="BU25" s="395">
        <v>0</v>
      </c>
      <c r="BV25" s="395" t="s">
        <v>621</v>
      </c>
      <c r="BW25" s="395" t="s">
        <v>621</v>
      </c>
      <c r="BX25" s="395" t="s">
        <v>621</v>
      </c>
    </row>
    <row r="26" spans="1:118" s="416" customFormat="1" ht="105" x14ac:dyDescent="0.25">
      <c r="A26" s="380" t="s">
        <v>813</v>
      </c>
      <c r="B26" s="400" t="s">
        <v>859</v>
      </c>
      <c r="C26" s="395" t="s">
        <v>1045</v>
      </c>
      <c r="D26" s="395" t="s">
        <v>621</v>
      </c>
      <c r="E26" s="395" t="s">
        <v>621</v>
      </c>
      <c r="F26" s="395" t="s">
        <v>621</v>
      </c>
      <c r="G26" s="395" t="s">
        <v>621</v>
      </c>
      <c r="H26" s="395" t="s">
        <v>621</v>
      </c>
      <c r="I26" s="395" t="s">
        <v>621</v>
      </c>
      <c r="J26" s="395" t="s">
        <v>621</v>
      </c>
      <c r="K26" s="395" t="s">
        <v>621</v>
      </c>
      <c r="L26" s="395" t="s">
        <v>621</v>
      </c>
      <c r="M26" s="395" t="s">
        <v>621</v>
      </c>
      <c r="N26" s="395" t="s">
        <v>621</v>
      </c>
      <c r="O26" s="395" t="s">
        <v>621</v>
      </c>
      <c r="P26" s="395" t="s">
        <v>825</v>
      </c>
      <c r="Q26" s="395" t="s">
        <v>621</v>
      </c>
      <c r="R26" s="395" t="s">
        <v>621</v>
      </c>
      <c r="S26" s="385">
        <v>0.45300000000000001</v>
      </c>
      <c r="T26" s="395" t="s">
        <v>621</v>
      </c>
      <c r="U26" s="395" t="s">
        <v>621</v>
      </c>
      <c r="V26" s="395" t="s">
        <v>825</v>
      </c>
      <c r="W26" s="395" t="s">
        <v>621</v>
      </c>
      <c r="X26" s="395" t="s">
        <v>621</v>
      </c>
      <c r="Y26" s="395">
        <v>0.45300000000000001</v>
      </c>
      <c r="Z26" s="395" t="s">
        <v>621</v>
      </c>
      <c r="AA26" s="395" t="s">
        <v>621</v>
      </c>
      <c r="AB26" s="395" t="s">
        <v>621</v>
      </c>
      <c r="AC26" s="395" t="s">
        <v>621</v>
      </c>
      <c r="AD26" s="395" t="s">
        <v>621</v>
      </c>
      <c r="AE26" s="395">
        <v>0</v>
      </c>
      <c r="AF26" s="395" t="s">
        <v>621</v>
      </c>
      <c r="AG26" s="395" t="s">
        <v>621</v>
      </c>
      <c r="AH26" s="395" t="s">
        <v>621</v>
      </c>
      <c r="AI26" s="395" t="s">
        <v>621</v>
      </c>
      <c r="AJ26" s="395" t="s">
        <v>621</v>
      </c>
      <c r="AK26" s="395">
        <v>0</v>
      </c>
      <c r="AL26" s="395" t="s">
        <v>621</v>
      </c>
      <c r="AM26" s="395" t="s">
        <v>621</v>
      </c>
      <c r="AN26" s="395" t="s">
        <v>621</v>
      </c>
      <c r="AO26" s="395" t="s">
        <v>621</v>
      </c>
      <c r="AP26" s="395" t="s">
        <v>621</v>
      </c>
      <c r="AQ26" s="395">
        <v>0</v>
      </c>
      <c r="AR26" s="395" t="s">
        <v>621</v>
      </c>
      <c r="AS26" s="395" t="s">
        <v>621</v>
      </c>
      <c r="AT26" s="395" t="s">
        <v>621</v>
      </c>
      <c r="AU26" s="395" t="s">
        <v>621</v>
      </c>
      <c r="AV26" s="395" t="s">
        <v>621</v>
      </c>
      <c r="AW26" s="395">
        <v>0</v>
      </c>
      <c r="AX26" s="395" t="s">
        <v>621</v>
      </c>
      <c r="AY26" s="395" t="s">
        <v>621</v>
      </c>
      <c r="AZ26" s="395" t="s">
        <v>621</v>
      </c>
      <c r="BA26" s="395" t="s">
        <v>621</v>
      </c>
      <c r="BB26" s="395" t="s">
        <v>621</v>
      </c>
      <c r="BC26" s="395">
        <v>0</v>
      </c>
      <c r="BD26" s="395" t="s">
        <v>621</v>
      </c>
      <c r="BE26" s="395" t="s">
        <v>621</v>
      </c>
      <c r="BF26" s="395" t="s">
        <v>621</v>
      </c>
      <c r="BG26" s="395" t="s">
        <v>621</v>
      </c>
      <c r="BH26" s="395" t="s">
        <v>621</v>
      </c>
      <c r="BI26" s="395">
        <v>0</v>
      </c>
      <c r="BJ26" s="395" t="s">
        <v>621</v>
      </c>
      <c r="BK26" s="395" t="s">
        <v>621</v>
      </c>
      <c r="BL26" s="395" t="s">
        <v>621</v>
      </c>
      <c r="BM26" s="395" t="s">
        <v>621</v>
      </c>
      <c r="BN26" s="395" t="s">
        <v>621</v>
      </c>
      <c r="BO26" s="395">
        <v>0</v>
      </c>
      <c r="BP26" s="395" t="s">
        <v>621</v>
      </c>
      <c r="BQ26" s="395" t="s">
        <v>621</v>
      </c>
      <c r="BR26" s="395" t="s">
        <v>621</v>
      </c>
      <c r="BS26" s="395" t="s">
        <v>621</v>
      </c>
      <c r="BT26" s="395" t="s">
        <v>621</v>
      </c>
      <c r="BU26" s="395">
        <v>0</v>
      </c>
      <c r="BV26" s="395" t="s">
        <v>621</v>
      </c>
      <c r="BW26" s="395" t="s">
        <v>621</v>
      </c>
      <c r="BX26" s="395" t="s">
        <v>621</v>
      </c>
    </row>
    <row r="27" spans="1:118" s="416" customFormat="1" ht="157.5" x14ac:dyDescent="0.25">
      <c r="A27" s="380" t="s">
        <v>817</v>
      </c>
      <c r="B27" s="400" t="s">
        <v>934</v>
      </c>
      <c r="C27" s="395" t="s">
        <v>1046</v>
      </c>
      <c r="D27" s="395" t="s">
        <v>621</v>
      </c>
      <c r="E27" s="395" t="s">
        <v>621</v>
      </c>
      <c r="F27" s="395" t="s">
        <v>621</v>
      </c>
      <c r="G27" s="395" t="s">
        <v>621</v>
      </c>
      <c r="H27" s="395" t="s">
        <v>621</v>
      </c>
      <c r="I27" s="395" t="s">
        <v>621</v>
      </c>
      <c r="J27" s="395" t="s">
        <v>621</v>
      </c>
      <c r="K27" s="395" t="s">
        <v>621</v>
      </c>
      <c r="L27" s="395" t="s">
        <v>621</v>
      </c>
      <c r="M27" s="395" t="s">
        <v>621</v>
      </c>
      <c r="N27" s="395" t="s">
        <v>621</v>
      </c>
      <c r="O27" s="395" t="s">
        <v>621</v>
      </c>
      <c r="P27" s="395" t="s">
        <v>825</v>
      </c>
      <c r="Q27" s="395" t="s">
        <v>621</v>
      </c>
      <c r="R27" s="395" t="s">
        <v>621</v>
      </c>
      <c r="S27" s="385">
        <v>2.9289999999999998</v>
      </c>
      <c r="T27" s="395" t="s">
        <v>621</v>
      </c>
      <c r="U27" s="395" t="s">
        <v>621</v>
      </c>
      <c r="V27" s="395" t="s">
        <v>825</v>
      </c>
      <c r="W27" s="395" t="s">
        <v>621</v>
      </c>
      <c r="X27" s="395" t="s">
        <v>621</v>
      </c>
      <c r="Y27" s="395">
        <f>'Ф1 2020'!O53</f>
        <v>2.9289999999999998</v>
      </c>
      <c r="Z27" s="395" t="s">
        <v>621</v>
      </c>
      <c r="AA27" s="395" t="s">
        <v>621</v>
      </c>
      <c r="AB27" s="395" t="s">
        <v>621</v>
      </c>
      <c r="AC27" s="395" t="s">
        <v>621</v>
      </c>
      <c r="AD27" s="395" t="s">
        <v>621</v>
      </c>
      <c r="AE27" s="395">
        <v>0</v>
      </c>
      <c r="AF27" s="395" t="s">
        <v>621</v>
      </c>
      <c r="AG27" s="395" t="s">
        <v>621</v>
      </c>
      <c r="AH27" s="395" t="s">
        <v>621</v>
      </c>
      <c r="AI27" s="395" t="s">
        <v>621</v>
      </c>
      <c r="AJ27" s="395" t="s">
        <v>621</v>
      </c>
      <c r="AK27" s="395">
        <v>0</v>
      </c>
      <c r="AL27" s="395" t="s">
        <v>621</v>
      </c>
      <c r="AM27" s="395" t="s">
        <v>621</v>
      </c>
      <c r="AN27" s="395" t="s">
        <v>621</v>
      </c>
      <c r="AO27" s="395" t="s">
        <v>621</v>
      </c>
      <c r="AP27" s="395" t="s">
        <v>621</v>
      </c>
      <c r="AQ27" s="395">
        <v>0</v>
      </c>
      <c r="AR27" s="395" t="s">
        <v>621</v>
      </c>
      <c r="AS27" s="395" t="s">
        <v>621</v>
      </c>
      <c r="AT27" s="395" t="s">
        <v>621</v>
      </c>
      <c r="AU27" s="395" t="s">
        <v>621</v>
      </c>
      <c r="AV27" s="395" t="s">
        <v>621</v>
      </c>
      <c r="AW27" s="395">
        <v>0</v>
      </c>
      <c r="AX27" s="395" t="s">
        <v>621</v>
      </c>
      <c r="AY27" s="395" t="s">
        <v>621</v>
      </c>
      <c r="AZ27" s="395" t="s">
        <v>621</v>
      </c>
      <c r="BA27" s="395" t="s">
        <v>621</v>
      </c>
      <c r="BB27" s="395" t="s">
        <v>621</v>
      </c>
      <c r="BC27" s="395">
        <v>0</v>
      </c>
      <c r="BD27" s="395" t="s">
        <v>621</v>
      </c>
      <c r="BE27" s="395" t="s">
        <v>621</v>
      </c>
      <c r="BF27" s="395" t="s">
        <v>621</v>
      </c>
      <c r="BG27" s="395" t="s">
        <v>621</v>
      </c>
      <c r="BH27" s="395" t="s">
        <v>621</v>
      </c>
      <c r="BI27" s="395">
        <v>0</v>
      </c>
      <c r="BJ27" s="395" t="s">
        <v>621</v>
      </c>
      <c r="BK27" s="395" t="s">
        <v>621</v>
      </c>
      <c r="BL27" s="395" t="s">
        <v>621</v>
      </c>
      <c r="BM27" s="395" t="s">
        <v>621</v>
      </c>
      <c r="BN27" s="395" t="s">
        <v>621</v>
      </c>
      <c r="BO27" s="395">
        <v>0</v>
      </c>
      <c r="BP27" s="395" t="s">
        <v>621</v>
      </c>
      <c r="BQ27" s="395" t="s">
        <v>621</v>
      </c>
      <c r="BR27" s="395" t="s">
        <v>621</v>
      </c>
      <c r="BS27" s="395" t="s">
        <v>621</v>
      </c>
      <c r="BT27" s="395" t="s">
        <v>621</v>
      </c>
      <c r="BU27" s="395">
        <v>0</v>
      </c>
      <c r="BV27" s="395" t="s">
        <v>621</v>
      </c>
      <c r="BW27" s="395" t="s">
        <v>621</v>
      </c>
      <c r="BX27" s="395" t="s">
        <v>621</v>
      </c>
    </row>
    <row r="28" spans="1:118" s="416" customFormat="1" ht="131.25" x14ac:dyDescent="0.25">
      <c r="A28" s="380" t="s">
        <v>819</v>
      </c>
      <c r="B28" s="400" t="s">
        <v>816</v>
      </c>
      <c r="C28" s="395" t="s">
        <v>1047</v>
      </c>
      <c r="D28" s="395" t="s">
        <v>621</v>
      </c>
      <c r="E28" s="395" t="s">
        <v>621</v>
      </c>
      <c r="F28" s="395" t="s">
        <v>621</v>
      </c>
      <c r="G28" s="395" t="s">
        <v>621</v>
      </c>
      <c r="H28" s="395" t="s">
        <v>621</v>
      </c>
      <c r="I28" s="395" t="s">
        <v>621</v>
      </c>
      <c r="J28" s="395" t="s">
        <v>621</v>
      </c>
      <c r="K28" s="395" t="s">
        <v>621</v>
      </c>
      <c r="L28" s="395" t="s">
        <v>621</v>
      </c>
      <c r="M28" s="395" t="s">
        <v>621</v>
      </c>
      <c r="N28" s="395" t="s">
        <v>621</v>
      </c>
      <c r="O28" s="395" t="s">
        <v>621</v>
      </c>
      <c r="P28" s="395" t="s">
        <v>621</v>
      </c>
      <c r="Q28" s="395" t="s">
        <v>621</v>
      </c>
      <c r="R28" s="395" t="s">
        <v>621</v>
      </c>
      <c r="S28" s="395">
        <v>0</v>
      </c>
      <c r="T28" s="395" t="s">
        <v>621</v>
      </c>
      <c r="U28" s="395" t="s">
        <v>621</v>
      </c>
      <c r="V28" s="395" t="s">
        <v>621</v>
      </c>
      <c r="W28" s="395" t="s">
        <v>621</v>
      </c>
      <c r="X28" s="395" t="s">
        <v>621</v>
      </c>
      <c r="Y28" s="395">
        <v>0</v>
      </c>
      <c r="Z28" s="395" t="s">
        <v>621</v>
      </c>
      <c r="AA28" s="395" t="s">
        <v>621</v>
      </c>
      <c r="AB28" s="395" t="s">
        <v>825</v>
      </c>
      <c r="AC28" s="395" t="s">
        <v>621</v>
      </c>
      <c r="AD28" s="395" t="s">
        <v>621</v>
      </c>
      <c r="AE28" s="348">
        <f>'Ф1 2021'!N51</f>
        <v>1.0109999999999999</v>
      </c>
      <c r="AF28" s="395" t="s">
        <v>621</v>
      </c>
      <c r="AG28" s="395" t="s">
        <v>621</v>
      </c>
      <c r="AH28" s="931" t="s">
        <v>825</v>
      </c>
      <c r="AI28" s="395" t="s">
        <v>621</v>
      </c>
      <c r="AJ28" s="395" t="s">
        <v>621</v>
      </c>
      <c r="AK28" s="931">
        <v>4.3159999999999998</v>
      </c>
      <c r="AL28" s="395" t="s">
        <v>621</v>
      </c>
      <c r="AM28" s="395" t="s">
        <v>621</v>
      </c>
      <c r="AN28" s="395" t="s">
        <v>621</v>
      </c>
      <c r="AO28" s="395" t="s">
        <v>621</v>
      </c>
      <c r="AP28" s="395" t="s">
        <v>621</v>
      </c>
      <c r="AQ28" s="395">
        <v>0</v>
      </c>
      <c r="AR28" s="395" t="s">
        <v>621</v>
      </c>
      <c r="AS28" s="395" t="s">
        <v>621</v>
      </c>
      <c r="AT28" s="395" t="s">
        <v>621</v>
      </c>
      <c r="AU28" s="395" t="s">
        <v>621</v>
      </c>
      <c r="AV28" s="395" t="s">
        <v>621</v>
      </c>
      <c r="AW28" s="395">
        <v>0</v>
      </c>
      <c r="AX28" s="395" t="s">
        <v>621</v>
      </c>
      <c r="AY28" s="395" t="s">
        <v>621</v>
      </c>
      <c r="AZ28" s="395" t="s">
        <v>621</v>
      </c>
      <c r="BA28" s="395" t="s">
        <v>621</v>
      </c>
      <c r="BB28" s="395" t="s">
        <v>621</v>
      </c>
      <c r="BC28" s="395">
        <v>0</v>
      </c>
      <c r="BD28" s="395" t="s">
        <v>621</v>
      </c>
      <c r="BE28" s="395" t="s">
        <v>621</v>
      </c>
      <c r="BF28" s="395" t="s">
        <v>621</v>
      </c>
      <c r="BG28" s="395" t="s">
        <v>621</v>
      </c>
      <c r="BH28" s="395" t="s">
        <v>621</v>
      </c>
      <c r="BI28" s="395">
        <v>0</v>
      </c>
      <c r="BJ28" s="395" t="s">
        <v>621</v>
      </c>
      <c r="BK28" s="395" t="s">
        <v>621</v>
      </c>
      <c r="BL28" s="395" t="s">
        <v>621</v>
      </c>
      <c r="BM28" s="395" t="s">
        <v>621</v>
      </c>
      <c r="BN28" s="395" t="s">
        <v>621</v>
      </c>
      <c r="BO28" s="395">
        <v>0</v>
      </c>
      <c r="BP28" s="395" t="s">
        <v>621</v>
      </c>
      <c r="BQ28" s="395" t="s">
        <v>621</v>
      </c>
      <c r="BR28" s="395" t="s">
        <v>621</v>
      </c>
      <c r="BS28" s="395" t="s">
        <v>621</v>
      </c>
      <c r="BT28" s="395" t="s">
        <v>621</v>
      </c>
      <c r="BU28" s="395">
        <v>0</v>
      </c>
      <c r="BV28" s="395" t="s">
        <v>621</v>
      </c>
      <c r="BW28" s="395" t="s">
        <v>621</v>
      </c>
      <c r="BX28" s="395" t="s">
        <v>621</v>
      </c>
    </row>
    <row r="29" spans="1:118" s="416" customFormat="1" ht="131.25" x14ac:dyDescent="0.25">
      <c r="A29" s="380" t="s">
        <v>820</v>
      </c>
      <c r="B29" s="400" t="s">
        <v>903</v>
      </c>
      <c r="C29" s="395" t="s">
        <v>1048</v>
      </c>
      <c r="D29" s="395" t="s">
        <v>621</v>
      </c>
      <c r="E29" s="395" t="s">
        <v>621</v>
      </c>
      <c r="F29" s="395" t="s">
        <v>621</v>
      </c>
      <c r="G29" s="395" t="s">
        <v>621</v>
      </c>
      <c r="H29" s="395" t="s">
        <v>621</v>
      </c>
      <c r="I29" s="395" t="s">
        <v>621</v>
      </c>
      <c r="J29" s="395" t="s">
        <v>621</v>
      </c>
      <c r="K29" s="395" t="s">
        <v>621</v>
      </c>
      <c r="L29" s="395" t="s">
        <v>621</v>
      </c>
      <c r="M29" s="395" t="s">
        <v>621</v>
      </c>
      <c r="N29" s="395" t="s">
        <v>621</v>
      </c>
      <c r="O29" s="395" t="s">
        <v>621</v>
      </c>
      <c r="P29" s="395" t="s">
        <v>621</v>
      </c>
      <c r="Q29" s="395" t="s">
        <v>621</v>
      </c>
      <c r="R29" s="395" t="s">
        <v>621</v>
      </c>
      <c r="S29" s="395">
        <v>0</v>
      </c>
      <c r="T29" s="395" t="s">
        <v>621</v>
      </c>
      <c r="U29" s="395" t="s">
        <v>621</v>
      </c>
      <c r="V29" s="395" t="s">
        <v>621</v>
      </c>
      <c r="W29" s="395" t="s">
        <v>621</v>
      </c>
      <c r="X29" s="395" t="s">
        <v>621</v>
      </c>
      <c r="Y29" s="395">
        <v>0</v>
      </c>
      <c r="Z29" s="395" t="s">
        <v>621</v>
      </c>
      <c r="AA29" s="395" t="s">
        <v>621</v>
      </c>
      <c r="AB29" s="395" t="s">
        <v>825</v>
      </c>
      <c r="AC29" s="395" t="s">
        <v>621</v>
      </c>
      <c r="AD29" s="395" t="s">
        <v>621</v>
      </c>
      <c r="AE29" s="348">
        <f>'Ф1 2021'!N52</f>
        <v>3</v>
      </c>
      <c r="AF29" s="395" t="s">
        <v>621</v>
      </c>
      <c r="AG29" s="395" t="s">
        <v>621</v>
      </c>
      <c r="AH29" s="931" t="s">
        <v>825</v>
      </c>
      <c r="AI29" s="395" t="s">
        <v>621</v>
      </c>
      <c r="AJ29" s="395" t="s">
        <v>621</v>
      </c>
      <c r="AK29" s="931">
        <v>7.1050000000000004</v>
      </c>
      <c r="AL29" s="395" t="s">
        <v>621</v>
      </c>
      <c r="AM29" s="395" t="s">
        <v>621</v>
      </c>
      <c r="AN29" s="395" t="s">
        <v>621</v>
      </c>
      <c r="AO29" s="395" t="s">
        <v>621</v>
      </c>
      <c r="AP29" s="395" t="s">
        <v>621</v>
      </c>
      <c r="AQ29" s="395">
        <v>0</v>
      </c>
      <c r="AR29" s="395" t="s">
        <v>621</v>
      </c>
      <c r="AS29" s="395" t="s">
        <v>621</v>
      </c>
      <c r="AT29" s="395" t="s">
        <v>621</v>
      </c>
      <c r="AU29" s="395" t="s">
        <v>621</v>
      </c>
      <c r="AV29" s="395" t="s">
        <v>621</v>
      </c>
      <c r="AW29" s="395">
        <v>0</v>
      </c>
      <c r="AX29" s="395" t="s">
        <v>621</v>
      </c>
      <c r="AY29" s="395" t="s">
        <v>621</v>
      </c>
      <c r="AZ29" s="395" t="s">
        <v>621</v>
      </c>
      <c r="BA29" s="395" t="s">
        <v>621</v>
      </c>
      <c r="BB29" s="395" t="s">
        <v>621</v>
      </c>
      <c r="BC29" s="395">
        <v>0</v>
      </c>
      <c r="BD29" s="395" t="s">
        <v>621</v>
      </c>
      <c r="BE29" s="395" t="s">
        <v>621</v>
      </c>
      <c r="BF29" s="395" t="s">
        <v>621</v>
      </c>
      <c r="BG29" s="395" t="s">
        <v>621</v>
      </c>
      <c r="BH29" s="395" t="s">
        <v>621</v>
      </c>
      <c r="BI29" s="395">
        <v>0</v>
      </c>
      <c r="BJ29" s="395" t="s">
        <v>621</v>
      </c>
      <c r="BK29" s="395" t="s">
        <v>621</v>
      </c>
      <c r="BL29" s="395" t="s">
        <v>621</v>
      </c>
      <c r="BM29" s="395" t="s">
        <v>621</v>
      </c>
      <c r="BN29" s="395" t="s">
        <v>621</v>
      </c>
      <c r="BO29" s="395">
        <v>0</v>
      </c>
      <c r="BP29" s="395" t="s">
        <v>621</v>
      </c>
      <c r="BQ29" s="395" t="s">
        <v>621</v>
      </c>
      <c r="BR29" s="395" t="s">
        <v>621</v>
      </c>
      <c r="BS29" s="395" t="s">
        <v>621</v>
      </c>
      <c r="BT29" s="395" t="s">
        <v>621</v>
      </c>
      <c r="BU29" s="395">
        <v>0</v>
      </c>
      <c r="BV29" s="395" t="s">
        <v>621</v>
      </c>
      <c r="BW29" s="395" t="s">
        <v>621</v>
      </c>
      <c r="BX29" s="395" t="s">
        <v>621</v>
      </c>
    </row>
    <row r="30" spans="1:118" s="416" customFormat="1" ht="78.75" x14ac:dyDescent="0.25">
      <c r="A30" s="380" t="s">
        <v>863</v>
      </c>
      <c r="B30" s="400" t="s">
        <v>915</v>
      </c>
      <c r="C30" s="395" t="s">
        <v>1049</v>
      </c>
      <c r="D30" s="395" t="s">
        <v>621</v>
      </c>
      <c r="E30" s="395" t="s">
        <v>621</v>
      </c>
      <c r="F30" s="395" t="s">
        <v>621</v>
      </c>
      <c r="G30" s="395" t="s">
        <v>621</v>
      </c>
      <c r="H30" s="395" t="s">
        <v>621</v>
      </c>
      <c r="I30" s="395" t="s">
        <v>621</v>
      </c>
      <c r="J30" s="395" t="s">
        <v>621</v>
      </c>
      <c r="K30" s="395" t="s">
        <v>621</v>
      </c>
      <c r="L30" s="395" t="s">
        <v>621</v>
      </c>
      <c r="M30" s="395" t="s">
        <v>621</v>
      </c>
      <c r="N30" s="395" t="s">
        <v>621</v>
      </c>
      <c r="O30" s="395" t="s">
        <v>621</v>
      </c>
      <c r="P30" s="395" t="s">
        <v>621</v>
      </c>
      <c r="Q30" s="395" t="s">
        <v>621</v>
      </c>
      <c r="R30" s="395" t="s">
        <v>621</v>
      </c>
      <c r="S30" s="395">
        <v>0</v>
      </c>
      <c r="T30" s="395" t="s">
        <v>621</v>
      </c>
      <c r="U30" s="395" t="s">
        <v>621</v>
      </c>
      <c r="V30" s="395" t="s">
        <v>621</v>
      </c>
      <c r="W30" s="395" t="s">
        <v>621</v>
      </c>
      <c r="X30" s="395" t="s">
        <v>621</v>
      </c>
      <c r="Y30" s="395">
        <v>0</v>
      </c>
      <c r="Z30" s="395" t="s">
        <v>621</v>
      </c>
      <c r="AA30" s="395" t="s">
        <v>621</v>
      </c>
      <c r="AB30" s="395" t="s">
        <v>825</v>
      </c>
      <c r="AC30" s="395" t="s">
        <v>621</v>
      </c>
      <c r="AD30" s="395" t="s">
        <v>621</v>
      </c>
      <c r="AE30" s="348">
        <f>'Ф1 2021'!N53</f>
        <v>2.3090000000000002</v>
      </c>
      <c r="AF30" s="395" t="s">
        <v>621</v>
      </c>
      <c r="AG30" s="395" t="s">
        <v>621</v>
      </c>
      <c r="AH30" s="931" t="s">
        <v>621</v>
      </c>
      <c r="AI30" s="395" t="s">
        <v>621</v>
      </c>
      <c r="AJ30" s="395" t="s">
        <v>621</v>
      </c>
      <c r="AK30" s="931">
        <v>0</v>
      </c>
      <c r="AL30" s="395" t="s">
        <v>621</v>
      </c>
      <c r="AM30" s="395" t="s">
        <v>621</v>
      </c>
      <c r="AN30" s="395" t="s">
        <v>621</v>
      </c>
      <c r="AO30" s="395" t="s">
        <v>621</v>
      </c>
      <c r="AP30" s="395" t="s">
        <v>621</v>
      </c>
      <c r="AQ30" s="395">
        <v>0</v>
      </c>
      <c r="AR30" s="395" t="s">
        <v>621</v>
      </c>
      <c r="AS30" s="395" t="s">
        <v>621</v>
      </c>
      <c r="AT30" s="395" t="s">
        <v>621</v>
      </c>
      <c r="AU30" s="395" t="s">
        <v>621</v>
      </c>
      <c r="AV30" s="395" t="s">
        <v>621</v>
      </c>
      <c r="AW30" s="395">
        <v>0</v>
      </c>
      <c r="AX30" s="395" t="s">
        <v>621</v>
      </c>
      <c r="AY30" s="395" t="s">
        <v>621</v>
      </c>
      <c r="AZ30" s="395" t="s">
        <v>621</v>
      </c>
      <c r="BA30" s="395" t="s">
        <v>621</v>
      </c>
      <c r="BB30" s="395" t="s">
        <v>621</v>
      </c>
      <c r="BC30" s="395">
        <v>0</v>
      </c>
      <c r="BD30" s="395" t="s">
        <v>621</v>
      </c>
      <c r="BE30" s="395" t="s">
        <v>621</v>
      </c>
      <c r="BF30" s="395" t="s">
        <v>621</v>
      </c>
      <c r="BG30" s="395" t="s">
        <v>621</v>
      </c>
      <c r="BH30" s="395" t="s">
        <v>621</v>
      </c>
      <c r="BI30" s="395">
        <v>0</v>
      </c>
      <c r="BJ30" s="395" t="s">
        <v>621</v>
      </c>
      <c r="BK30" s="395" t="s">
        <v>621</v>
      </c>
      <c r="BL30" s="395" t="s">
        <v>621</v>
      </c>
      <c r="BM30" s="395" t="s">
        <v>621</v>
      </c>
      <c r="BN30" s="395" t="s">
        <v>621</v>
      </c>
      <c r="BO30" s="395">
        <v>0</v>
      </c>
      <c r="BP30" s="395" t="s">
        <v>621</v>
      </c>
      <c r="BQ30" s="395" t="s">
        <v>621</v>
      </c>
      <c r="BR30" s="395" t="s">
        <v>621</v>
      </c>
      <c r="BS30" s="395" t="s">
        <v>621</v>
      </c>
      <c r="BT30" s="395" t="s">
        <v>621</v>
      </c>
      <c r="BU30" s="395">
        <v>0</v>
      </c>
      <c r="BV30" s="395" t="s">
        <v>621</v>
      </c>
      <c r="BW30" s="395" t="s">
        <v>621</v>
      </c>
      <c r="BX30" s="395" t="s">
        <v>621</v>
      </c>
    </row>
    <row r="31" spans="1:118" s="416" customFormat="1" ht="78.75" x14ac:dyDescent="0.25">
      <c r="A31" s="380" t="s">
        <v>864</v>
      </c>
      <c r="B31" s="400" t="s">
        <v>818</v>
      </c>
      <c r="C31" s="395" t="s">
        <v>1050</v>
      </c>
      <c r="D31" s="395" t="s">
        <v>621</v>
      </c>
      <c r="E31" s="395" t="s">
        <v>621</v>
      </c>
      <c r="F31" s="395" t="s">
        <v>621</v>
      </c>
      <c r="G31" s="395" t="s">
        <v>621</v>
      </c>
      <c r="H31" s="395" t="s">
        <v>621</v>
      </c>
      <c r="I31" s="395" t="s">
        <v>621</v>
      </c>
      <c r="J31" s="395" t="s">
        <v>621</v>
      </c>
      <c r="K31" s="395" t="s">
        <v>621</v>
      </c>
      <c r="L31" s="395" t="s">
        <v>621</v>
      </c>
      <c r="M31" s="395" t="s">
        <v>621</v>
      </c>
      <c r="N31" s="395" t="s">
        <v>621</v>
      </c>
      <c r="O31" s="395" t="s">
        <v>621</v>
      </c>
      <c r="P31" s="395" t="s">
        <v>621</v>
      </c>
      <c r="Q31" s="395" t="s">
        <v>621</v>
      </c>
      <c r="R31" s="395" t="s">
        <v>621</v>
      </c>
      <c r="S31" s="395">
        <v>0</v>
      </c>
      <c r="T31" s="395" t="s">
        <v>621</v>
      </c>
      <c r="U31" s="395" t="s">
        <v>621</v>
      </c>
      <c r="V31" s="395" t="s">
        <v>621</v>
      </c>
      <c r="W31" s="395" t="s">
        <v>621</v>
      </c>
      <c r="X31" s="395" t="s">
        <v>621</v>
      </c>
      <c r="Y31" s="395">
        <v>0</v>
      </c>
      <c r="Z31" s="395" t="s">
        <v>621</v>
      </c>
      <c r="AA31" s="395" t="s">
        <v>621</v>
      </c>
      <c r="AB31" s="395" t="s">
        <v>621</v>
      </c>
      <c r="AC31" s="395" t="s">
        <v>621</v>
      </c>
      <c r="AD31" s="395" t="s">
        <v>621</v>
      </c>
      <c r="AE31" s="395">
        <v>0</v>
      </c>
      <c r="AF31" s="395" t="s">
        <v>621</v>
      </c>
      <c r="AG31" s="395" t="s">
        <v>621</v>
      </c>
      <c r="AH31" s="395" t="s">
        <v>621</v>
      </c>
      <c r="AI31" s="395" t="s">
        <v>621</v>
      </c>
      <c r="AJ31" s="395" t="s">
        <v>621</v>
      </c>
      <c r="AK31" s="395">
        <v>0</v>
      </c>
      <c r="AL31" s="395" t="s">
        <v>621</v>
      </c>
      <c r="AM31" s="395" t="s">
        <v>621</v>
      </c>
      <c r="AN31" s="395" t="s">
        <v>621</v>
      </c>
      <c r="AO31" s="395" t="s">
        <v>621</v>
      </c>
      <c r="AP31" s="395" t="s">
        <v>621</v>
      </c>
      <c r="AQ31" s="348">
        <f>'Ф1 2022'!N51</f>
        <v>1.3080000000000001</v>
      </c>
      <c r="AR31" s="395" t="s">
        <v>621</v>
      </c>
      <c r="AS31" s="395" t="s">
        <v>621</v>
      </c>
      <c r="AT31" s="395" t="s">
        <v>825</v>
      </c>
      <c r="AU31" s="395" t="s">
        <v>621</v>
      </c>
      <c r="AV31" s="395" t="s">
        <v>621</v>
      </c>
      <c r="AW31" s="395">
        <v>1.3080000000000001</v>
      </c>
      <c r="AX31" s="395" t="s">
        <v>621</v>
      </c>
      <c r="AY31" s="395" t="s">
        <v>621</v>
      </c>
      <c r="AZ31" s="395" t="s">
        <v>621</v>
      </c>
      <c r="BA31" s="395" t="s">
        <v>621</v>
      </c>
      <c r="BB31" s="395" t="s">
        <v>621</v>
      </c>
      <c r="BC31" s="395">
        <v>0</v>
      </c>
      <c r="BD31" s="395" t="s">
        <v>621</v>
      </c>
      <c r="BE31" s="395" t="s">
        <v>621</v>
      </c>
      <c r="BF31" s="395" t="s">
        <v>621</v>
      </c>
      <c r="BG31" s="395" t="s">
        <v>621</v>
      </c>
      <c r="BH31" s="395" t="s">
        <v>621</v>
      </c>
      <c r="BI31" s="395">
        <v>0</v>
      </c>
      <c r="BJ31" s="395" t="s">
        <v>621</v>
      </c>
      <c r="BK31" s="395" t="s">
        <v>621</v>
      </c>
      <c r="BL31" s="395" t="s">
        <v>621</v>
      </c>
      <c r="BM31" s="395" t="s">
        <v>621</v>
      </c>
      <c r="BN31" s="395" t="s">
        <v>621</v>
      </c>
      <c r="BO31" s="395">
        <v>0</v>
      </c>
      <c r="BP31" s="395" t="s">
        <v>621</v>
      </c>
      <c r="BQ31" s="395" t="s">
        <v>621</v>
      </c>
      <c r="BR31" s="395" t="s">
        <v>621</v>
      </c>
      <c r="BS31" s="395" t="s">
        <v>621</v>
      </c>
      <c r="BT31" s="395" t="s">
        <v>621</v>
      </c>
      <c r="BU31" s="395">
        <v>0</v>
      </c>
      <c r="BV31" s="395" t="s">
        <v>621</v>
      </c>
      <c r="BW31" s="395" t="s">
        <v>621</v>
      </c>
      <c r="BX31" s="395" t="s">
        <v>621</v>
      </c>
    </row>
    <row r="32" spans="1:118" s="416" customFormat="1" ht="131.25" x14ac:dyDescent="0.25">
      <c r="A32" s="380" t="s">
        <v>868</v>
      </c>
      <c r="B32" s="400" t="s">
        <v>870</v>
      </c>
      <c r="C32" s="395" t="s">
        <v>1051</v>
      </c>
      <c r="D32" s="395" t="s">
        <v>621</v>
      </c>
      <c r="E32" s="395" t="s">
        <v>621</v>
      </c>
      <c r="F32" s="395" t="s">
        <v>621</v>
      </c>
      <c r="G32" s="395" t="s">
        <v>621</v>
      </c>
      <c r="H32" s="395" t="s">
        <v>621</v>
      </c>
      <c r="I32" s="395" t="s">
        <v>621</v>
      </c>
      <c r="J32" s="395" t="s">
        <v>621</v>
      </c>
      <c r="K32" s="395" t="s">
        <v>621</v>
      </c>
      <c r="L32" s="395" t="s">
        <v>621</v>
      </c>
      <c r="M32" s="395" t="s">
        <v>621</v>
      </c>
      <c r="N32" s="395" t="s">
        <v>621</v>
      </c>
      <c r="O32" s="395" t="s">
        <v>621</v>
      </c>
      <c r="P32" s="395" t="s">
        <v>621</v>
      </c>
      <c r="Q32" s="395" t="s">
        <v>621</v>
      </c>
      <c r="R32" s="395" t="s">
        <v>621</v>
      </c>
      <c r="S32" s="395">
        <v>0</v>
      </c>
      <c r="T32" s="395" t="s">
        <v>621</v>
      </c>
      <c r="U32" s="395" t="s">
        <v>621</v>
      </c>
      <c r="V32" s="395" t="s">
        <v>621</v>
      </c>
      <c r="W32" s="395" t="s">
        <v>621</v>
      </c>
      <c r="X32" s="395" t="s">
        <v>621</v>
      </c>
      <c r="Y32" s="395">
        <v>0</v>
      </c>
      <c r="Z32" s="395" t="s">
        <v>621</v>
      </c>
      <c r="AA32" s="395" t="s">
        <v>621</v>
      </c>
      <c r="AB32" s="395" t="s">
        <v>621</v>
      </c>
      <c r="AC32" s="395" t="s">
        <v>621</v>
      </c>
      <c r="AD32" s="395" t="s">
        <v>621</v>
      </c>
      <c r="AE32" s="395">
        <v>0</v>
      </c>
      <c r="AF32" s="395" t="s">
        <v>621</v>
      </c>
      <c r="AG32" s="395" t="s">
        <v>621</v>
      </c>
      <c r="AH32" s="395" t="s">
        <v>621</v>
      </c>
      <c r="AI32" s="395" t="s">
        <v>621</v>
      </c>
      <c r="AJ32" s="395" t="s">
        <v>621</v>
      </c>
      <c r="AK32" s="395">
        <v>0</v>
      </c>
      <c r="AL32" s="395" t="s">
        <v>621</v>
      </c>
      <c r="AM32" s="395" t="s">
        <v>621</v>
      </c>
      <c r="AN32" s="395" t="s">
        <v>621</v>
      </c>
      <c r="AO32" s="395" t="s">
        <v>621</v>
      </c>
      <c r="AP32" s="395" t="s">
        <v>621</v>
      </c>
      <c r="AQ32" s="348">
        <f>'Ф1 2022'!N52</f>
        <v>2.5670000000000002</v>
      </c>
      <c r="AR32" s="395" t="s">
        <v>621</v>
      </c>
      <c r="AS32" s="395" t="s">
        <v>621</v>
      </c>
      <c r="AT32" s="395" t="s">
        <v>825</v>
      </c>
      <c r="AU32" s="395" t="s">
        <v>621</v>
      </c>
      <c r="AV32" s="395" t="s">
        <v>621</v>
      </c>
      <c r="AW32" s="395">
        <v>0</v>
      </c>
      <c r="AX32" s="395" t="s">
        <v>621</v>
      </c>
      <c r="AY32" s="395" t="s">
        <v>621</v>
      </c>
      <c r="AZ32" s="395" t="s">
        <v>621</v>
      </c>
      <c r="BA32" s="395" t="s">
        <v>621</v>
      </c>
      <c r="BB32" s="395" t="s">
        <v>621</v>
      </c>
      <c r="BC32" s="395">
        <v>0</v>
      </c>
      <c r="BD32" s="395" t="s">
        <v>621</v>
      </c>
      <c r="BE32" s="395" t="s">
        <v>621</v>
      </c>
      <c r="BF32" s="395" t="s">
        <v>621</v>
      </c>
      <c r="BG32" s="395" t="s">
        <v>621</v>
      </c>
      <c r="BH32" s="395" t="s">
        <v>621</v>
      </c>
      <c r="BI32" s="395">
        <v>0</v>
      </c>
      <c r="BJ32" s="395" t="s">
        <v>621</v>
      </c>
      <c r="BK32" s="395" t="s">
        <v>621</v>
      </c>
      <c r="BL32" s="395" t="s">
        <v>621</v>
      </c>
      <c r="BM32" s="395" t="s">
        <v>621</v>
      </c>
      <c r="BN32" s="395" t="s">
        <v>621</v>
      </c>
      <c r="BO32" s="395">
        <v>0</v>
      </c>
      <c r="BP32" s="395" t="s">
        <v>621</v>
      </c>
      <c r="BQ32" s="395" t="s">
        <v>621</v>
      </c>
      <c r="BR32" s="395" t="s">
        <v>621</v>
      </c>
      <c r="BS32" s="395" t="s">
        <v>621</v>
      </c>
      <c r="BT32" s="395" t="s">
        <v>621</v>
      </c>
      <c r="BU32" s="395">
        <v>0</v>
      </c>
      <c r="BV32" s="395" t="s">
        <v>621</v>
      </c>
      <c r="BW32" s="395" t="s">
        <v>621</v>
      </c>
      <c r="BX32" s="395" t="s">
        <v>621</v>
      </c>
    </row>
    <row r="33" spans="1:76" s="416" customFormat="1" ht="236.25" x14ac:dyDescent="0.25">
      <c r="A33" s="380" t="s">
        <v>869</v>
      </c>
      <c r="B33" s="400" t="s">
        <v>876</v>
      </c>
      <c r="C33" s="395" t="s">
        <v>1052</v>
      </c>
      <c r="D33" s="395" t="s">
        <v>621</v>
      </c>
      <c r="E33" s="395" t="s">
        <v>621</v>
      </c>
      <c r="F33" s="395" t="s">
        <v>621</v>
      </c>
      <c r="G33" s="395" t="s">
        <v>621</v>
      </c>
      <c r="H33" s="395" t="s">
        <v>621</v>
      </c>
      <c r="I33" s="395" t="s">
        <v>621</v>
      </c>
      <c r="J33" s="395" t="s">
        <v>621</v>
      </c>
      <c r="K33" s="395" t="s">
        <v>621</v>
      </c>
      <c r="L33" s="395" t="s">
        <v>621</v>
      </c>
      <c r="M33" s="395" t="s">
        <v>621</v>
      </c>
      <c r="N33" s="395" t="s">
        <v>621</v>
      </c>
      <c r="O33" s="395" t="s">
        <v>621</v>
      </c>
      <c r="P33" s="395" t="s">
        <v>621</v>
      </c>
      <c r="Q33" s="395" t="s">
        <v>621</v>
      </c>
      <c r="R33" s="395" t="s">
        <v>621</v>
      </c>
      <c r="S33" s="395">
        <v>0</v>
      </c>
      <c r="T33" s="395" t="s">
        <v>621</v>
      </c>
      <c r="U33" s="395" t="s">
        <v>621</v>
      </c>
      <c r="V33" s="395" t="s">
        <v>621</v>
      </c>
      <c r="W33" s="395" t="s">
        <v>621</v>
      </c>
      <c r="X33" s="395" t="s">
        <v>621</v>
      </c>
      <c r="Y33" s="395">
        <v>0</v>
      </c>
      <c r="Z33" s="395" t="s">
        <v>621</v>
      </c>
      <c r="AA33" s="395" t="s">
        <v>621</v>
      </c>
      <c r="AB33" s="395" t="s">
        <v>621</v>
      </c>
      <c r="AC33" s="395" t="s">
        <v>621</v>
      </c>
      <c r="AD33" s="395" t="s">
        <v>621</v>
      </c>
      <c r="AE33" s="395">
        <v>0</v>
      </c>
      <c r="AF33" s="395" t="s">
        <v>621</v>
      </c>
      <c r="AG33" s="395" t="s">
        <v>621</v>
      </c>
      <c r="AH33" s="395" t="s">
        <v>621</v>
      </c>
      <c r="AI33" s="395" t="s">
        <v>621</v>
      </c>
      <c r="AJ33" s="395" t="s">
        <v>621</v>
      </c>
      <c r="AK33" s="395">
        <v>0</v>
      </c>
      <c r="AL33" s="395" t="s">
        <v>621</v>
      </c>
      <c r="AM33" s="395" t="s">
        <v>621</v>
      </c>
      <c r="AN33" s="395" t="s">
        <v>621</v>
      </c>
      <c r="AO33" s="395" t="s">
        <v>621</v>
      </c>
      <c r="AP33" s="395" t="s">
        <v>621</v>
      </c>
      <c r="AQ33" s="395">
        <v>0</v>
      </c>
      <c r="AR33" s="395" t="s">
        <v>621</v>
      </c>
      <c r="AS33" s="395" t="s">
        <v>621</v>
      </c>
      <c r="AT33" s="395" t="s">
        <v>621</v>
      </c>
      <c r="AU33" s="395" t="s">
        <v>621</v>
      </c>
      <c r="AV33" s="395" t="s">
        <v>621</v>
      </c>
      <c r="AW33" s="395">
        <v>0</v>
      </c>
      <c r="AX33" s="395" t="s">
        <v>621</v>
      </c>
      <c r="AY33" s="395" t="s">
        <v>621</v>
      </c>
      <c r="AZ33" s="395" t="s">
        <v>825</v>
      </c>
      <c r="BA33" s="395" t="s">
        <v>621</v>
      </c>
      <c r="BB33" s="395" t="s">
        <v>621</v>
      </c>
      <c r="BC33" s="348">
        <f>'Ф1 2023'!N51</f>
        <v>4.8949999999999996</v>
      </c>
      <c r="BD33" s="395" t="s">
        <v>621</v>
      </c>
      <c r="BE33" s="395" t="s">
        <v>621</v>
      </c>
      <c r="BF33" s="931" t="s">
        <v>825</v>
      </c>
      <c r="BG33" s="395" t="s">
        <v>621</v>
      </c>
      <c r="BH33" s="395" t="s">
        <v>621</v>
      </c>
      <c r="BI33" s="931">
        <v>4.8949999999999996</v>
      </c>
      <c r="BJ33" s="395" t="s">
        <v>621</v>
      </c>
      <c r="BK33" s="395" t="s">
        <v>621</v>
      </c>
      <c r="BL33" s="395" t="s">
        <v>621</v>
      </c>
      <c r="BM33" s="395" t="s">
        <v>621</v>
      </c>
      <c r="BN33" s="395" t="s">
        <v>621</v>
      </c>
      <c r="BO33" s="395">
        <v>0</v>
      </c>
      <c r="BP33" s="395" t="s">
        <v>621</v>
      </c>
      <c r="BQ33" s="395" t="s">
        <v>621</v>
      </c>
      <c r="BR33" s="395" t="s">
        <v>621</v>
      </c>
      <c r="BS33" s="395" t="s">
        <v>621</v>
      </c>
      <c r="BT33" s="395" t="s">
        <v>621</v>
      </c>
      <c r="BU33" s="395">
        <v>0</v>
      </c>
      <c r="BV33" s="395" t="s">
        <v>621</v>
      </c>
      <c r="BW33" s="395" t="s">
        <v>621</v>
      </c>
      <c r="BX33" s="395" t="s">
        <v>621</v>
      </c>
    </row>
    <row r="34" spans="1:76" s="416" customFormat="1" ht="52.5" x14ac:dyDescent="0.25">
      <c r="A34" s="380" t="s">
        <v>874</v>
      </c>
      <c r="B34" s="381" t="s">
        <v>821</v>
      </c>
      <c r="C34" s="395" t="s">
        <v>1053</v>
      </c>
      <c r="D34" s="395" t="s">
        <v>621</v>
      </c>
      <c r="E34" s="395" t="s">
        <v>621</v>
      </c>
      <c r="F34" s="395" t="s">
        <v>621</v>
      </c>
      <c r="G34" s="395" t="s">
        <v>621</v>
      </c>
      <c r="H34" s="395" t="s">
        <v>621</v>
      </c>
      <c r="I34" s="395" t="s">
        <v>621</v>
      </c>
      <c r="J34" s="395" t="s">
        <v>621</v>
      </c>
      <c r="K34" s="395" t="s">
        <v>621</v>
      </c>
      <c r="L34" s="395" t="s">
        <v>621</v>
      </c>
      <c r="M34" s="395" t="s">
        <v>621</v>
      </c>
      <c r="N34" s="395" t="s">
        <v>621</v>
      </c>
      <c r="O34" s="395" t="s">
        <v>621</v>
      </c>
      <c r="P34" s="395" t="s">
        <v>621</v>
      </c>
      <c r="Q34" s="395" t="s">
        <v>621</v>
      </c>
      <c r="R34" s="395" t="s">
        <v>621</v>
      </c>
      <c r="S34" s="395">
        <v>0</v>
      </c>
      <c r="T34" s="395" t="s">
        <v>621</v>
      </c>
      <c r="U34" s="395" t="s">
        <v>621</v>
      </c>
      <c r="V34" s="395" t="s">
        <v>621</v>
      </c>
      <c r="W34" s="395" t="s">
        <v>621</v>
      </c>
      <c r="X34" s="395" t="s">
        <v>621</v>
      </c>
      <c r="Y34" s="395">
        <v>0</v>
      </c>
      <c r="Z34" s="395" t="s">
        <v>621</v>
      </c>
      <c r="AA34" s="395" t="s">
        <v>621</v>
      </c>
      <c r="AB34" s="395" t="s">
        <v>621</v>
      </c>
      <c r="AC34" s="395" t="s">
        <v>621</v>
      </c>
      <c r="AD34" s="395" t="s">
        <v>621</v>
      </c>
      <c r="AE34" s="395">
        <v>0</v>
      </c>
      <c r="AF34" s="395" t="s">
        <v>621</v>
      </c>
      <c r="AG34" s="395" t="s">
        <v>621</v>
      </c>
      <c r="AH34" s="395" t="s">
        <v>621</v>
      </c>
      <c r="AI34" s="395" t="s">
        <v>621</v>
      </c>
      <c r="AJ34" s="395" t="s">
        <v>621</v>
      </c>
      <c r="AK34" s="395">
        <v>0</v>
      </c>
      <c r="AL34" s="395" t="s">
        <v>621</v>
      </c>
      <c r="AM34" s="395" t="s">
        <v>621</v>
      </c>
      <c r="AN34" s="395" t="s">
        <v>621</v>
      </c>
      <c r="AO34" s="395" t="s">
        <v>621</v>
      </c>
      <c r="AP34" s="395" t="s">
        <v>621</v>
      </c>
      <c r="AQ34" s="395">
        <v>0</v>
      </c>
      <c r="AR34" s="395" t="s">
        <v>621</v>
      </c>
      <c r="AS34" s="395" t="s">
        <v>621</v>
      </c>
      <c r="AT34" s="395" t="s">
        <v>621</v>
      </c>
      <c r="AU34" s="395" t="s">
        <v>621</v>
      </c>
      <c r="AV34" s="395" t="s">
        <v>621</v>
      </c>
      <c r="AW34" s="395">
        <v>0</v>
      </c>
      <c r="AX34" s="395" t="s">
        <v>621</v>
      </c>
      <c r="AY34" s="395" t="s">
        <v>621</v>
      </c>
      <c r="AZ34" s="395" t="s">
        <v>621</v>
      </c>
      <c r="BA34" s="395" t="s">
        <v>621</v>
      </c>
      <c r="BB34" s="395" t="s">
        <v>621</v>
      </c>
      <c r="BC34" s="395">
        <v>0</v>
      </c>
      <c r="BD34" s="395" t="s">
        <v>621</v>
      </c>
      <c r="BE34" s="395" t="s">
        <v>621</v>
      </c>
      <c r="BF34" s="395" t="s">
        <v>621</v>
      </c>
      <c r="BG34" s="395" t="s">
        <v>621</v>
      </c>
      <c r="BH34" s="395" t="s">
        <v>621</v>
      </c>
      <c r="BI34" s="395">
        <v>0</v>
      </c>
      <c r="BJ34" s="395" t="s">
        <v>621</v>
      </c>
      <c r="BK34" s="395" t="s">
        <v>621</v>
      </c>
      <c r="BL34" s="395" t="s">
        <v>825</v>
      </c>
      <c r="BM34" s="395" t="s">
        <v>621</v>
      </c>
      <c r="BN34" s="395" t="s">
        <v>621</v>
      </c>
      <c r="BO34" s="348">
        <f>'Ф1 2024'!N51</f>
        <v>1.538</v>
      </c>
      <c r="BP34" s="395" t="s">
        <v>621</v>
      </c>
      <c r="BQ34" s="395" t="s">
        <v>621</v>
      </c>
      <c r="BR34" s="395" t="s">
        <v>825</v>
      </c>
      <c r="BS34" s="395" t="s">
        <v>621</v>
      </c>
      <c r="BT34" s="395" t="s">
        <v>621</v>
      </c>
      <c r="BU34" s="395">
        <v>1.538</v>
      </c>
      <c r="BV34" s="395" t="s">
        <v>621</v>
      </c>
      <c r="BW34" s="395" t="s">
        <v>621</v>
      </c>
      <c r="BX34" s="395" t="s">
        <v>621</v>
      </c>
    </row>
    <row r="35" spans="1:76" s="416" customFormat="1" ht="105" x14ac:dyDescent="0.25">
      <c r="A35" s="380" t="s">
        <v>875</v>
      </c>
      <c r="B35" s="381" t="s">
        <v>1042</v>
      </c>
      <c r="C35" s="395" t="s">
        <v>1054</v>
      </c>
      <c r="D35" s="395" t="s">
        <v>621</v>
      </c>
      <c r="E35" s="395" t="s">
        <v>621</v>
      </c>
      <c r="F35" s="395" t="s">
        <v>621</v>
      </c>
      <c r="G35" s="395" t="s">
        <v>621</v>
      </c>
      <c r="H35" s="395" t="s">
        <v>621</v>
      </c>
      <c r="I35" s="395" t="s">
        <v>621</v>
      </c>
      <c r="J35" s="395" t="s">
        <v>621</v>
      </c>
      <c r="K35" s="395" t="s">
        <v>621</v>
      </c>
      <c r="L35" s="395" t="s">
        <v>621</v>
      </c>
      <c r="M35" s="395" t="s">
        <v>621</v>
      </c>
      <c r="N35" s="395" t="s">
        <v>621</v>
      </c>
      <c r="O35" s="395" t="s">
        <v>621</v>
      </c>
      <c r="P35" s="395" t="s">
        <v>621</v>
      </c>
      <c r="Q35" s="395" t="s">
        <v>621</v>
      </c>
      <c r="R35" s="395" t="s">
        <v>621</v>
      </c>
      <c r="S35" s="395">
        <v>0</v>
      </c>
      <c r="T35" s="395" t="s">
        <v>621</v>
      </c>
      <c r="U35" s="395" t="s">
        <v>621</v>
      </c>
      <c r="V35" s="395" t="s">
        <v>621</v>
      </c>
      <c r="W35" s="395" t="s">
        <v>621</v>
      </c>
      <c r="X35" s="395" t="s">
        <v>621</v>
      </c>
      <c r="Y35" s="395">
        <v>0</v>
      </c>
      <c r="Z35" s="395" t="s">
        <v>621</v>
      </c>
      <c r="AA35" s="395" t="s">
        <v>621</v>
      </c>
      <c r="AB35" s="395" t="s">
        <v>621</v>
      </c>
      <c r="AC35" s="395" t="s">
        <v>621</v>
      </c>
      <c r="AD35" s="395" t="s">
        <v>621</v>
      </c>
      <c r="AE35" s="395">
        <v>0</v>
      </c>
      <c r="AF35" s="395" t="s">
        <v>621</v>
      </c>
      <c r="AG35" s="395" t="s">
        <v>621</v>
      </c>
      <c r="AH35" s="395" t="s">
        <v>621</v>
      </c>
      <c r="AI35" s="395" t="s">
        <v>621</v>
      </c>
      <c r="AJ35" s="395" t="s">
        <v>621</v>
      </c>
      <c r="AK35" s="395">
        <v>0</v>
      </c>
      <c r="AL35" s="395" t="s">
        <v>621</v>
      </c>
      <c r="AM35" s="395" t="s">
        <v>621</v>
      </c>
      <c r="AN35" s="395" t="s">
        <v>621</v>
      </c>
      <c r="AO35" s="395" t="s">
        <v>621</v>
      </c>
      <c r="AP35" s="395" t="s">
        <v>621</v>
      </c>
      <c r="AQ35" s="395">
        <v>0</v>
      </c>
      <c r="AR35" s="395" t="s">
        <v>621</v>
      </c>
      <c r="AS35" s="395" t="s">
        <v>621</v>
      </c>
      <c r="AT35" s="395" t="s">
        <v>621</v>
      </c>
      <c r="AU35" s="395" t="s">
        <v>621</v>
      </c>
      <c r="AV35" s="395" t="s">
        <v>621</v>
      </c>
      <c r="AW35" s="395">
        <v>0</v>
      </c>
      <c r="AX35" s="395" t="s">
        <v>621</v>
      </c>
      <c r="AY35" s="395" t="s">
        <v>621</v>
      </c>
      <c r="AZ35" s="395" t="s">
        <v>621</v>
      </c>
      <c r="BA35" s="395" t="s">
        <v>621</v>
      </c>
      <c r="BB35" s="395" t="s">
        <v>621</v>
      </c>
      <c r="BC35" s="395">
        <v>0</v>
      </c>
      <c r="BD35" s="395" t="s">
        <v>621</v>
      </c>
      <c r="BE35" s="395" t="s">
        <v>621</v>
      </c>
      <c r="BF35" s="395" t="s">
        <v>621</v>
      </c>
      <c r="BG35" s="395" t="s">
        <v>621</v>
      </c>
      <c r="BH35" s="395" t="s">
        <v>621</v>
      </c>
      <c r="BI35" s="395">
        <v>0</v>
      </c>
      <c r="BJ35" s="395" t="s">
        <v>621</v>
      </c>
      <c r="BK35" s="395" t="s">
        <v>621</v>
      </c>
      <c r="BL35" s="395" t="s">
        <v>825</v>
      </c>
      <c r="BM35" s="395" t="s">
        <v>621</v>
      </c>
      <c r="BN35" s="395" t="s">
        <v>621</v>
      </c>
      <c r="BO35" s="348">
        <f>'Ф1 2024'!N52</f>
        <v>0.59499999999999997</v>
      </c>
      <c r="BP35" s="395" t="s">
        <v>621</v>
      </c>
      <c r="BQ35" s="395" t="s">
        <v>621</v>
      </c>
      <c r="BR35" s="395" t="s">
        <v>825</v>
      </c>
      <c r="BS35" s="395" t="s">
        <v>621</v>
      </c>
      <c r="BT35" s="395" t="s">
        <v>621</v>
      </c>
      <c r="BU35" s="395">
        <v>0.59499999999999997</v>
      </c>
      <c r="BV35" s="395" t="s">
        <v>621</v>
      </c>
      <c r="BW35" s="395" t="s">
        <v>621</v>
      </c>
      <c r="BX35" s="395" t="s">
        <v>621</v>
      </c>
    </row>
    <row r="36" spans="1:76" s="416" customFormat="1" ht="52.5" x14ac:dyDescent="0.25">
      <c r="A36" s="380" t="s">
        <v>884</v>
      </c>
      <c r="B36" s="381" t="s">
        <v>901</v>
      </c>
      <c r="C36" s="395" t="s">
        <v>1055</v>
      </c>
      <c r="D36" s="395" t="s">
        <v>621</v>
      </c>
      <c r="E36" s="395" t="s">
        <v>621</v>
      </c>
      <c r="F36" s="395" t="s">
        <v>621</v>
      </c>
      <c r="G36" s="395" t="s">
        <v>621</v>
      </c>
      <c r="H36" s="395" t="s">
        <v>621</v>
      </c>
      <c r="I36" s="395" t="s">
        <v>621</v>
      </c>
      <c r="J36" s="395" t="s">
        <v>621</v>
      </c>
      <c r="K36" s="395" t="s">
        <v>621</v>
      </c>
      <c r="L36" s="395" t="s">
        <v>621</v>
      </c>
      <c r="M36" s="395" t="s">
        <v>621</v>
      </c>
      <c r="N36" s="395" t="s">
        <v>621</v>
      </c>
      <c r="O36" s="395" t="s">
        <v>621</v>
      </c>
      <c r="P36" s="395" t="s">
        <v>621</v>
      </c>
      <c r="Q36" s="395" t="s">
        <v>621</v>
      </c>
      <c r="R36" s="395" t="s">
        <v>621</v>
      </c>
      <c r="S36" s="395">
        <v>0</v>
      </c>
      <c r="T36" s="395" t="s">
        <v>621</v>
      </c>
      <c r="U36" s="395" t="s">
        <v>621</v>
      </c>
      <c r="V36" s="395" t="s">
        <v>621</v>
      </c>
      <c r="W36" s="395" t="s">
        <v>621</v>
      </c>
      <c r="X36" s="395" t="s">
        <v>621</v>
      </c>
      <c r="Y36" s="395">
        <v>0</v>
      </c>
      <c r="Z36" s="395" t="s">
        <v>621</v>
      </c>
      <c r="AA36" s="395" t="s">
        <v>621</v>
      </c>
      <c r="AB36" s="395" t="s">
        <v>621</v>
      </c>
      <c r="AC36" s="395" t="s">
        <v>621</v>
      </c>
      <c r="AD36" s="395" t="s">
        <v>621</v>
      </c>
      <c r="AE36" s="395">
        <v>0</v>
      </c>
      <c r="AF36" s="395" t="s">
        <v>621</v>
      </c>
      <c r="AG36" s="395" t="s">
        <v>621</v>
      </c>
      <c r="AH36" s="395" t="s">
        <v>621</v>
      </c>
      <c r="AI36" s="395" t="s">
        <v>621</v>
      </c>
      <c r="AJ36" s="395" t="s">
        <v>621</v>
      </c>
      <c r="AK36" s="395">
        <v>0</v>
      </c>
      <c r="AL36" s="395" t="s">
        <v>621</v>
      </c>
      <c r="AM36" s="395" t="s">
        <v>621</v>
      </c>
      <c r="AN36" s="395" t="s">
        <v>621</v>
      </c>
      <c r="AO36" s="395" t="s">
        <v>621</v>
      </c>
      <c r="AP36" s="395" t="s">
        <v>621</v>
      </c>
      <c r="AQ36" s="395">
        <v>0</v>
      </c>
      <c r="AR36" s="395" t="s">
        <v>621</v>
      </c>
      <c r="AS36" s="395" t="s">
        <v>621</v>
      </c>
      <c r="AT36" s="395" t="s">
        <v>621</v>
      </c>
      <c r="AU36" s="395" t="s">
        <v>621</v>
      </c>
      <c r="AV36" s="395" t="s">
        <v>621</v>
      </c>
      <c r="AW36" s="395">
        <v>0</v>
      </c>
      <c r="AX36" s="395" t="s">
        <v>621</v>
      </c>
      <c r="AY36" s="395" t="s">
        <v>621</v>
      </c>
      <c r="AZ36" s="395" t="s">
        <v>621</v>
      </c>
      <c r="BA36" s="395" t="s">
        <v>621</v>
      </c>
      <c r="BB36" s="395" t="s">
        <v>621</v>
      </c>
      <c r="BC36" s="395">
        <v>0</v>
      </c>
      <c r="BD36" s="395" t="s">
        <v>621</v>
      </c>
      <c r="BE36" s="395" t="s">
        <v>621</v>
      </c>
      <c r="BF36" s="395" t="s">
        <v>621</v>
      </c>
      <c r="BG36" s="395" t="s">
        <v>621</v>
      </c>
      <c r="BH36" s="395" t="s">
        <v>621</v>
      </c>
      <c r="BI36" s="395" t="s">
        <v>621</v>
      </c>
      <c r="BJ36" s="395" t="s">
        <v>621</v>
      </c>
      <c r="BK36" s="395" t="s">
        <v>621</v>
      </c>
      <c r="BL36" s="395" t="s">
        <v>825</v>
      </c>
      <c r="BM36" s="395" t="s">
        <v>621</v>
      </c>
      <c r="BN36" s="395" t="s">
        <v>621</v>
      </c>
      <c r="BO36" s="348">
        <f>'Ф1 2024'!N53</f>
        <v>1.006</v>
      </c>
      <c r="BP36" s="395" t="s">
        <v>621</v>
      </c>
      <c r="BQ36" s="395" t="s">
        <v>621</v>
      </c>
      <c r="BR36" s="395" t="s">
        <v>825</v>
      </c>
      <c r="BS36" s="395" t="s">
        <v>621</v>
      </c>
      <c r="BT36" s="395" t="s">
        <v>621</v>
      </c>
      <c r="BU36" s="395">
        <v>1.006</v>
      </c>
      <c r="BV36" s="395" t="s">
        <v>621</v>
      </c>
      <c r="BW36" s="395" t="s">
        <v>621</v>
      </c>
      <c r="BX36" s="395" t="s">
        <v>621</v>
      </c>
    </row>
    <row r="37" spans="1:76" s="416" customFormat="1" ht="78.75" x14ac:dyDescent="0.25">
      <c r="A37" s="380" t="s">
        <v>1659</v>
      </c>
      <c r="B37" s="381" t="s">
        <v>1671</v>
      </c>
      <c r="C37" s="395" t="s">
        <v>1683</v>
      </c>
      <c r="D37" s="395" t="s">
        <v>621</v>
      </c>
      <c r="E37" s="395" t="s">
        <v>621</v>
      </c>
      <c r="F37" s="395" t="s">
        <v>621</v>
      </c>
      <c r="G37" s="395" t="s">
        <v>621</v>
      </c>
      <c r="H37" s="395" t="s">
        <v>621</v>
      </c>
      <c r="I37" s="395" t="s">
        <v>621</v>
      </c>
      <c r="J37" s="395" t="s">
        <v>621</v>
      </c>
      <c r="K37" s="395" t="s">
        <v>621</v>
      </c>
      <c r="L37" s="395" t="s">
        <v>621</v>
      </c>
      <c r="M37" s="395" t="s">
        <v>621</v>
      </c>
      <c r="N37" s="395" t="s">
        <v>621</v>
      </c>
      <c r="O37" s="395" t="s">
        <v>621</v>
      </c>
      <c r="P37" s="395" t="s">
        <v>621</v>
      </c>
      <c r="Q37" s="395" t="s">
        <v>621</v>
      </c>
      <c r="R37" s="395" t="s">
        <v>621</v>
      </c>
      <c r="S37" s="395">
        <v>0</v>
      </c>
      <c r="T37" s="395" t="s">
        <v>621</v>
      </c>
      <c r="U37" s="395" t="s">
        <v>621</v>
      </c>
      <c r="V37" s="395" t="s">
        <v>621</v>
      </c>
      <c r="W37" s="395" t="s">
        <v>621</v>
      </c>
      <c r="X37" s="395" t="s">
        <v>621</v>
      </c>
      <c r="Y37" s="395">
        <v>0</v>
      </c>
      <c r="Z37" s="395" t="s">
        <v>621</v>
      </c>
      <c r="AA37" s="395" t="s">
        <v>621</v>
      </c>
      <c r="AB37" s="395" t="s">
        <v>621</v>
      </c>
      <c r="AC37" s="395" t="s">
        <v>621</v>
      </c>
      <c r="AD37" s="395" t="s">
        <v>621</v>
      </c>
      <c r="AE37" s="395" t="s">
        <v>621</v>
      </c>
      <c r="AF37" s="395" t="s">
        <v>621</v>
      </c>
      <c r="AG37" s="395" t="s">
        <v>621</v>
      </c>
      <c r="AH37" s="931" t="s">
        <v>825</v>
      </c>
      <c r="AI37" s="395" t="s">
        <v>621</v>
      </c>
      <c r="AJ37" s="395" t="s">
        <v>621</v>
      </c>
      <c r="AK37" s="931">
        <f>'4'!AS37</f>
        <v>2.3039999999999998</v>
      </c>
      <c r="AL37" s="395" t="s">
        <v>621</v>
      </c>
      <c r="AM37" s="395" t="s">
        <v>621</v>
      </c>
      <c r="AN37" s="395" t="s">
        <v>621</v>
      </c>
      <c r="AO37" s="395" t="s">
        <v>621</v>
      </c>
      <c r="AP37" s="395" t="s">
        <v>621</v>
      </c>
      <c r="AQ37" s="395">
        <v>0</v>
      </c>
      <c r="AR37" s="395" t="s">
        <v>621</v>
      </c>
      <c r="AS37" s="395" t="s">
        <v>621</v>
      </c>
      <c r="AT37" s="395" t="s">
        <v>621</v>
      </c>
      <c r="AU37" s="395" t="s">
        <v>621</v>
      </c>
      <c r="AV37" s="395" t="s">
        <v>621</v>
      </c>
      <c r="AW37" s="395">
        <v>0</v>
      </c>
      <c r="AX37" s="395" t="s">
        <v>621</v>
      </c>
      <c r="AY37" s="395" t="s">
        <v>621</v>
      </c>
      <c r="AZ37" s="395" t="s">
        <v>621</v>
      </c>
      <c r="BA37" s="395" t="s">
        <v>621</v>
      </c>
      <c r="BB37" s="395" t="s">
        <v>621</v>
      </c>
      <c r="BC37" s="395">
        <v>0</v>
      </c>
      <c r="BD37" s="395" t="s">
        <v>621</v>
      </c>
      <c r="BE37" s="395" t="s">
        <v>621</v>
      </c>
      <c r="BF37" s="395" t="s">
        <v>621</v>
      </c>
      <c r="BG37" s="395" t="s">
        <v>621</v>
      </c>
      <c r="BH37" s="395" t="s">
        <v>621</v>
      </c>
      <c r="BI37" s="395" t="s">
        <v>621</v>
      </c>
      <c r="BJ37" s="395" t="s">
        <v>621</v>
      </c>
      <c r="BK37" s="395" t="s">
        <v>621</v>
      </c>
      <c r="BL37" s="395" t="s">
        <v>621</v>
      </c>
      <c r="BM37" s="395" t="s">
        <v>621</v>
      </c>
      <c r="BN37" s="395" t="s">
        <v>621</v>
      </c>
      <c r="BO37" s="395" t="s">
        <v>621</v>
      </c>
      <c r="BP37" s="395" t="s">
        <v>621</v>
      </c>
      <c r="BQ37" s="395" t="s">
        <v>621</v>
      </c>
      <c r="BR37" s="395" t="s">
        <v>621</v>
      </c>
      <c r="BS37" s="395" t="s">
        <v>621</v>
      </c>
      <c r="BT37" s="395" t="s">
        <v>621</v>
      </c>
      <c r="BU37" s="395" t="s">
        <v>621</v>
      </c>
      <c r="BV37" s="395" t="s">
        <v>621</v>
      </c>
      <c r="BW37" s="395" t="s">
        <v>621</v>
      </c>
      <c r="BX37" s="395" t="s">
        <v>621</v>
      </c>
    </row>
    <row r="38" spans="1:76" s="416" customFormat="1" ht="52.5" x14ac:dyDescent="0.25">
      <c r="A38" s="380" t="s">
        <v>1660</v>
      </c>
      <c r="B38" s="381" t="s">
        <v>1672</v>
      </c>
      <c r="C38" s="395" t="s">
        <v>1684</v>
      </c>
      <c r="D38" s="395" t="s">
        <v>621</v>
      </c>
      <c r="E38" s="395" t="s">
        <v>621</v>
      </c>
      <c r="F38" s="395" t="s">
        <v>621</v>
      </c>
      <c r="G38" s="395" t="s">
        <v>621</v>
      </c>
      <c r="H38" s="395" t="s">
        <v>621</v>
      </c>
      <c r="I38" s="395" t="s">
        <v>621</v>
      </c>
      <c r="J38" s="395" t="s">
        <v>621</v>
      </c>
      <c r="K38" s="395" t="s">
        <v>621</v>
      </c>
      <c r="L38" s="395" t="s">
        <v>621</v>
      </c>
      <c r="M38" s="395" t="s">
        <v>621</v>
      </c>
      <c r="N38" s="395" t="s">
        <v>621</v>
      </c>
      <c r="O38" s="395" t="s">
        <v>621</v>
      </c>
      <c r="P38" s="395" t="s">
        <v>621</v>
      </c>
      <c r="Q38" s="395" t="s">
        <v>621</v>
      </c>
      <c r="R38" s="395" t="s">
        <v>621</v>
      </c>
      <c r="S38" s="395">
        <v>0</v>
      </c>
      <c r="T38" s="395" t="s">
        <v>621</v>
      </c>
      <c r="U38" s="395" t="s">
        <v>621</v>
      </c>
      <c r="V38" s="395" t="s">
        <v>621</v>
      </c>
      <c r="W38" s="395" t="s">
        <v>621</v>
      </c>
      <c r="X38" s="395" t="s">
        <v>621</v>
      </c>
      <c r="Y38" s="395">
        <v>0</v>
      </c>
      <c r="Z38" s="395" t="s">
        <v>621</v>
      </c>
      <c r="AA38" s="395" t="s">
        <v>621</v>
      </c>
      <c r="AB38" s="395" t="s">
        <v>621</v>
      </c>
      <c r="AC38" s="395" t="s">
        <v>621</v>
      </c>
      <c r="AD38" s="395" t="s">
        <v>621</v>
      </c>
      <c r="AE38" s="395" t="s">
        <v>621</v>
      </c>
      <c r="AF38" s="395" t="s">
        <v>621</v>
      </c>
      <c r="AG38" s="395" t="s">
        <v>621</v>
      </c>
      <c r="AH38" s="931" t="s">
        <v>825</v>
      </c>
      <c r="AI38" s="395" t="s">
        <v>621</v>
      </c>
      <c r="AJ38" s="395" t="s">
        <v>621</v>
      </c>
      <c r="AK38" s="931">
        <f>'4'!AS38</f>
        <v>0.95899999999999996</v>
      </c>
      <c r="AL38" s="395" t="s">
        <v>621</v>
      </c>
      <c r="AM38" s="395" t="s">
        <v>621</v>
      </c>
      <c r="AN38" s="395" t="s">
        <v>621</v>
      </c>
      <c r="AO38" s="395" t="s">
        <v>621</v>
      </c>
      <c r="AP38" s="395" t="s">
        <v>621</v>
      </c>
      <c r="AQ38" s="395">
        <v>0</v>
      </c>
      <c r="AR38" s="395" t="s">
        <v>621</v>
      </c>
      <c r="AS38" s="395" t="s">
        <v>621</v>
      </c>
      <c r="AT38" s="395" t="s">
        <v>621</v>
      </c>
      <c r="AU38" s="395" t="s">
        <v>621</v>
      </c>
      <c r="AV38" s="395" t="s">
        <v>621</v>
      </c>
      <c r="AW38" s="395">
        <v>0</v>
      </c>
      <c r="AX38" s="395" t="s">
        <v>621</v>
      </c>
      <c r="AY38" s="395" t="s">
        <v>621</v>
      </c>
      <c r="AZ38" s="395" t="s">
        <v>621</v>
      </c>
      <c r="BA38" s="395" t="s">
        <v>621</v>
      </c>
      <c r="BB38" s="395" t="s">
        <v>621</v>
      </c>
      <c r="BC38" s="395">
        <v>0</v>
      </c>
      <c r="BD38" s="395" t="s">
        <v>621</v>
      </c>
      <c r="BE38" s="395" t="s">
        <v>621</v>
      </c>
      <c r="BF38" s="395" t="s">
        <v>621</v>
      </c>
      <c r="BG38" s="395" t="s">
        <v>621</v>
      </c>
      <c r="BH38" s="395" t="s">
        <v>621</v>
      </c>
      <c r="BI38" s="395" t="s">
        <v>621</v>
      </c>
      <c r="BJ38" s="395" t="s">
        <v>621</v>
      </c>
      <c r="BK38" s="395" t="s">
        <v>621</v>
      </c>
      <c r="BL38" s="395" t="s">
        <v>621</v>
      </c>
      <c r="BM38" s="395" t="s">
        <v>621</v>
      </c>
      <c r="BN38" s="395" t="s">
        <v>621</v>
      </c>
      <c r="BO38" s="395" t="s">
        <v>621</v>
      </c>
      <c r="BP38" s="395" t="s">
        <v>621</v>
      </c>
      <c r="BQ38" s="395" t="s">
        <v>621</v>
      </c>
      <c r="BR38" s="395" t="s">
        <v>621</v>
      </c>
      <c r="BS38" s="395" t="s">
        <v>621</v>
      </c>
      <c r="BT38" s="395" t="s">
        <v>621</v>
      </c>
      <c r="BU38" s="395" t="s">
        <v>621</v>
      </c>
      <c r="BV38" s="395" t="s">
        <v>621</v>
      </c>
      <c r="BW38" s="395" t="s">
        <v>621</v>
      </c>
      <c r="BX38" s="395" t="s">
        <v>621</v>
      </c>
    </row>
    <row r="39" spans="1:76" s="416" customFormat="1" ht="78.75" x14ac:dyDescent="0.25">
      <c r="A39" s="380" t="s">
        <v>1661</v>
      </c>
      <c r="B39" s="381" t="s">
        <v>1673</v>
      </c>
      <c r="C39" s="395" t="s">
        <v>1685</v>
      </c>
      <c r="D39" s="395" t="s">
        <v>621</v>
      </c>
      <c r="E39" s="395" t="s">
        <v>621</v>
      </c>
      <c r="F39" s="395" t="s">
        <v>621</v>
      </c>
      <c r="G39" s="395" t="s">
        <v>621</v>
      </c>
      <c r="H39" s="395" t="s">
        <v>621</v>
      </c>
      <c r="I39" s="395" t="s">
        <v>621</v>
      </c>
      <c r="J39" s="395" t="s">
        <v>621</v>
      </c>
      <c r="K39" s="395" t="s">
        <v>621</v>
      </c>
      <c r="L39" s="395" t="s">
        <v>621</v>
      </c>
      <c r="M39" s="395" t="s">
        <v>621</v>
      </c>
      <c r="N39" s="395" t="s">
        <v>621</v>
      </c>
      <c r="O39" s="395" t="s">
        <v>621</v>
      </c>
      <c r="P39" s="395" t="s">
        <v>621</v>
      </c>
      <c r="Q39" s="395" t="s">
        <v>621</v>
      </c>
      <c r="R39" s="395" t="s">
        <v>621</v>
      </c>
      <c r="S39" s="395">
        <v>0</v>
      </c>
      <c r="T39" s="395" t="s">
        <v>621</v>
      </c>
      <c r="U39" s="395" t="s">
        <v>621</v>
      </c>
      <c r="V39" s="395" t="s">
        <v>621</v>
      </c>
      <c r="W39" s="395" t="s">
        <v>621</v>
      </c>
      <c r="X39" s="395" t="s">
        <v>621</v>
      </c>
      <c r="Y39" s="395">
        <v>0</v>
      </c>
      <c r="Z39" s="395" t="s">
        <v>621</v>
      </c>
      <c r="AA39" s="395" t="s">
        <v>621</v>
      </c>
      <c r="AB39" s="395" t="s">
        <v>621</v>
      </c>
      <c r="AC39" s="395" t="s">
        <v>621</v>
      </c>
      <c r="AD39" s="395" t="s">
        <v>621</v>
      </c>
      <c r="AE39" s="395" t="s">
        <v>621</v>
      </c>
      <c r="AF39" s="395" t="s">
        <v>621</v>
      </c>
      <c r="AG39" s="395" t="s">
        <v>621</v>
      </c>
      <c r="AH39" s="931" t="s">
        <v>825</v>
      </c>
      <c r="AI39" s="395" t="s">
        <v>621</v>
      </c>
      <c r="AJ39" s="395" t="s">
        <v>621</v>
      </c>
      <c r="AK39" s="931">
        <f>'4'!AS39</f>
        <v>0.58199999999999996</v>
      </c>
      <c r="AL39" s="395" t="s">
        <v>621</v>
      </c>
      <c r="AM39" s="395" t="s">
        <v>621</v>
      </c>
      <c r="AN39" s="395" t="s">
        <v>621</v>
      </c>
      <c r="AO39" s="395" t="s">
        <v>621</v>
      </c>
      <c r="AP39" s="395" t="s">
        <v>621</v>
      </c>
      <c r="AQ39" s="395">
        <v>0</v>
      </c>
      <c r="AR39" s="395" t="s">
        <v>621</v>
      </c>
      <c r="AS39" s="395" t="s">
        <v>621</v>
      </c>
      <c r="AT39" s="395" t="s">
        <v>621</v>
      </c>
      <c r="AU39" s="395" t="s">
        <v>621</v>
      </c>
      <c r="AV39" s="395" t="s">
        <v>621</v>
      </c>
      <c r="AW39" s="395">
        <v>0</v>
      </c>
      <c r="AX39" s="395" t="s">
        <v>621</v>
      </c>
      <c r="AY39" s="395" t="s">
        <v>621</v>
      </c>
      <c r="AZ39" s="395" t="s">
        <v>621</v>
      </c>
      <c r="BA39" s="395" t="s">
        <v>621</v>
      </c>
      <c r="BB39" s="395" t="s">
        <v>621</v>
      </c>
      <c r="BC39" s="395">
        <v>0</v>
      </c>
      <c r="BD39" s="395" t="s">
        <v>621</v>
      </c>
      <c r="BE39" s="395" t="s">
        <v>621</v>
      </c>
      <c r="BF39" s="395" t="s">
        <v>621</v>
      </c>
      <c r="BG39" s="395" t="s">
        <v>621</v>
      </c>
      <c r="BH39" s="395" t="s">
        <v>621</v>
      </c>
      <c r="BI39" s="395" t="s">
        <v>621</v>
      </c>
      <c r="BJ39" s="395" t="s">
        <v>621</v>
      </c>
      <c r="BK39" s="395" t="s">
        <v>621</v>
      </c>
      <c r="BL39" s="395" t="s">
        <v>621</v>
      </c>
      <c r="BM39" s="395" t="s">
        <v>621</v>
      </c>
      <c r="BN39" s="395" t="s">
        <v>621</v>
      </c>
      <c r="BO39" s="395" t="s">
        <v>621</v>
      </c>
      <c r="BP39" s="395" t="s">
        <v>621</v>
      </c>
      <c r="BQ39" s="395" t="s">
        <v>621</v>
      </c>
      <c r="BR39" s="395" t="s">
        <v>621</v>
      </c>
      <c r="BS39" s="395" t="s">
        <v>621</v>
      </c>
      <c r="BT39" s="395" t="s">
        <v>621</v>
      </c>
      <c r="BU39" s="395" t="s">
        <v>621</v>
      </c>
      <c r="BV39" s="395" t="s">
        <v>621</v>
      </c>
      <c r="BW39" s="395" t="s">
        <v>621</v>
      </c>
      <c r="BX39" s="395" t="s">
        <v>621</v>
      </c>
    </row>
    <row r="40" spans="1:76" s="416" customFormat="1" ht="78.75" x14ac:dyDescent="0.25">
      <c r="A40" s="380" t="s">
        <v>1662</v>
      </c>
      <c r="B40" s="381" t="s">
        <v>1674</v>
      </c>
      <c r="C40" s="395" t="s">
        <v>1686</v>
      </c>
      <c r="D40" s="395" t="s">
        <v>621</v>
      </c>
      <c r="E40" s="395" t="s">
        <v>621</v>
      </c>
      <c r="F40" s="395" t="s">
        <v>621</v>
      </c>
      <c r="G40" s="395" t="s">
        <v>621</v>
      </c>
      <c r="H40" s="395" t="s">
        <v>621</v>
      </c>
      <c r="I40" s="395" t="s">
        <v>621</v>
      </c>
      <c r="J40" s="395" t="s">
        <v>621</v>
      </c>
      <c r="K40" s="395" t="s">
        <v>621</v>
      </c>
      <c r="L40" s="395" t="s">
        <v>621</v>
      </c>
      <c r="M40" s="395" t="s">
        <v>621</v>
      </c>
      <c r="N40" s="395" t="s">
        <v>621</v>
      </c>
      <c r="O40" s="395" t="s">
        <v>621</v>
      </c>
      <c r="P40" s="395" t="s">
        <v>621</v>
      </c>
      <c r="Q40" s="395" t="s">
        <v>621</v>
      </c>
      <c r="R40" s="395" t="s">
        <v>621</v>
      </c>
      <c r="S40" s="395">
        <v>0</v>
      </c>
      <c r="T40" s="395" t="s">
        <v>621</v>
      </c>
      <c r="U40" s="395" t="s">
        <v>621</v>
      </c>
      <c r="V40" s="395" t="s">
        <v>621</v>
      </c>
      <c r="W40" s="395" t="s">
        <v>621</v>
      </c>
      <c r="X40" s="395" t="s">
        <v>621</v>
      </c>
      <c r="Y40" s="395">
        <v>0</v>
      </c>
      <c r="Z40" s="395" t="s">
        <v>621</v>
      </c>
      <c r="AA40" s="395" t="s">
        <v>621</v>
      </c>
      <c r="AB40" s="395" t="s">
        <v>621</v>
      </c>
      <c r="AC40" s="395" t="s">
        <v>621</v>
      </c>
      <c r="AD40" s="395" t="s">
        <v>621</v>
      </c>
      <c r="AE40" s="395" t="s">
        <v>621</v>
      </c>
      <c r="AF40" s="395" t="s">
        <v>621</v>
      </c>
      <c r="AG40" s="395" t="s">
        <v>621</v>
      </c>
      <c r="AH40" s="931" t="s">
        <v>825</v>
      </c>
      <c r="AI40" s="395" t="s">
        <v>621</v>
      </c>
      <c r="AJ40" s="395" t="s">
        <v>621</v>
      </c>
      <c r="AK40" s="931">
        <f>'4'!AS40</f>
        <v>0.46500000000000002</v>
      </c>
      <c r="AL40" s="395" t="s">
        <v>621</v>
      </c>
      <c r="AM40" s="395" t="s">
        <v>621</v>
      </c>
      <c r="AN40" s="395" t="s">
        <v>621</v>
      </c>
      <c r="AO40" s="395" t="s">
        <v>621</v>
      </c>
      <c r="AP40" s="395" t="s">
        <v>621</v>
      </c>
      <c r="AQ40" s="395">
        <v>0</v>
      </c>
      <c r="AR40" s="395" t="s">
        <v>621</v>
      </c>
      <c r="AS40" s="395" t="s">
        <v>621</v>
      </c>
      <c r="AT40" s="395" t="s">
        <v>621</v>
      </c>
      <c r="AU40" s="395" t="s">
        <v>621</v>
      </c>
      <c r="AV40" s="395" t="s">
        <v>621</v>
      </c>
      <c r="AW40" s="395">
        <v>0</v>
      </c>
      <c r="AX40" s="395" t="s">
        <v>621</v>
      </c>
      <c r="AY40" s="395" t="s">
        <v>621</v>
      </c>
      <c r="AZ40" s="395" t="s">
        <v>621</v>
      </c>
      <c r="BA40" s="395" t="s">
        <v>621</v>
      </c>
      <c r="BB40" s="395" t="s">
        <v>621</v>
      </c>
      <c r="BC40" s="395">
        <v>0</v>
      </c>
      <c r="BD40" s="395" t="s">
        <v>621</v>
      </c>
      <c r="BE40" s="395" t="s">
        <v>621</v>
      </c>
      <c r="BF40" s="395" t="s">
        <v>621</v>
      </c>
      <c r="BG40" s="395" t="s">
        <v>621</v>
      </c>
      <c r="BH40" s="395" t="s">
        <v>621</v>
      </c>
      <c r="BI40" s="395" t="s">
        <v>621</v>
      </c>
      <c r="BJ40" s="395" t="s">
        <v>621</v>
      </c>
      <c r="BK40" s="395" t="s">
        <v>621</v>
      </c>
      <c r="BL40" s="395" t="s">
        <v>621</v>
      </c>
      <c r="BM40" s="395" t="s">
        <v>621</v>
      </c>
      <c r="BN40" s="395" t="s">
        <v>621</v>
      </c>
      <c r="BO40" s="395" t="s">
        <v>621</v>
      </c>
      <c r="BP40" s="395" t="s">
        <v>621</v>
      </c>
      <c r="BQ40" s="395" t="s">
        <v>621</v>
      </c>
      <c r="BR40" s="395" t="s">
        <v>621</v>
      </c>
      <c r="BS40" s="395" t="s">
        <v>621</v>
      </c>
      <c r="BT40" s="395" t="s">
        <v>621</v>
      </c>
      <c r="BU40" s="395" t="s">
        <v>621</v>
      </c>
      <c r="BV40" s="395" t="s">
        <v>621</v>
      </c>
      <c r="BW40" s="395" t="s">
        <v>621</v>
      </c>
      <c r="BX40" s="395" t="s">
        <v>621</v>
      </c>
    </row>
    <row r="41" spans="1:76" s="416" customFormat="1" ht="52.5" x14ac:dyDescent="0.25">
      <c r="A41" s="380" t="s">
        <v>1663</v>
      </c>
      <c r="B41" s="381" t="s">
        <v>1675</v>
      </c>
      <c r="C41" s="395" t="s">
        <v>1687</v>
      </c>
      <c r="D41" s="395" t="s">
        <v>621</v>
      </c>
      <c r="E41" s="395" t="s">
        <v>621</v>
      </c>
      <c r="F41" s="395" t="s">
        <v>621</v>
      </c>
      <c r="G41" s="395" t="s">
        <v>621</v>
      </c>
      <c r="H41" s="395" t="s">
        <v>621</v>
      </c>
      <c r="I41" s="395" t="s">
        <v>621</v>
      </c>
      <c r="J41" s="395" t="s">
        <v>621</v>
      </c>
      <c r="K41" s="395" t="s">
        <v>621</v>
      </c>
      <c r="L41" s="395" t="s">
        <v>621</v>
      </c>
      <c r="M41" s="395" t="s">
        <v>621</v>
      </c>
      <c r="N41" s="395" t="s">
        <v>621</v>
      </c>
      <c r="O41" s="395" t="s">
        <v>621</v>
      </c>
      <c r="P41" s="395" t="s">
        <v>621</v>
      </c>
      <c r="Q41" s="395" t="s">
        <v>621</v>
      </c>
      <c r="R41" s="395" t="s">
        <v>621</v>
      </c>
      <c r="S41" s="395">
        <v>0</v>
      </c>
      <c r="T41" s="395" t="s">
        <v>621</v>
      </c>
      <c r="U41" s="395" t="s">
        <v>621</v>
      </c>
      <c r="V41" s="395" t="s">
        <v>621</v>
      </c>
      <c r="W41" s="395" t="s">
        <v>621</v>
      </c>
      <c r="X41" s="395" t="s">
        <v>621</v>
      </c>
      <c r="Y41" s="395">
        <v>0</v>
      </c>
      <c r="Z41" s="395" t="s">
        <v>621</v>
      </c>
      <c r="AA41" s="395" t="s">
        <v>621</v>
      </c>
      <c r="AB41" s="395" t="s">
        <v>621</v>
      </c>
      <c r="AC41" s="395" t="s">
        <v>621</v>
      </c>
      <c r="AD41" s="395" t="s">
        <v>621</v>
      </c>
      <c r="AE41" s="395" t="s">
        <v>621</v>
      </c>
      <c r="AF41" s="395" t="s">
        <v>621</v>
      </c>
      <c r="AG41" s="395" t="s">
        <v>621</v>
      </c>
      <c r="AH41" s="931" t="s">
        <v>825</v>
      </c>
      <c r="AI41" s="395" t="s">
        <v>621</v>
      </c>
      <c r="AJ41" s="395" t="s">
        <v>621</v>
      </c>
      <c r="AK41" s="931">
        <f>'4'!AS41</f>
        <v>0.33800000000000002</v>
      </c>
      <c r="AL41" s="395" t="s">
        <v>621</v>
      </c>
      <c r="AM41" s="395" t="s">
        <v>621</v>
      </c>
      <c r="AN41" s="395" t="s">
        <v>621</v>
      </c>
      <c r="AO41" s="395" t="s">
        <v>621</v>
      </c>
      <c r="AP41" s="395" t="s">
        <v>621</v>
      </c>
      <c r="AQ41" s="395">
        <v>0</v>
      </c>
      <c r="AR41" s="395" t="s">
        <v>621</v>
      </c>
      <c r="AS41" s="395" t="s">
        <v>621</v>
      </c>
      <c r="AT41" s="395" t="s">
        <v>621</v>
      </c>
      <c r="AU41" s="395" t="s">
        <v>621</v>
      </c>
      <c r="AV41" s="395" t="s">
        <v>621</v>
      </c>
      <c r="AW41" s="395">
        <v>0</v>
      </c>
      <c r="AX41" s="395" t="s">
        <v>621</v>
      </c>
      <c r="AY41" s="395" t="s">
        <v>621</v>
      </c>
      <c r="AZ41" s="395" t="s">
        <v>621</v>
      </c>
      <c r="BA41" s="395" t="s">
        <v>621</v>
      </c>
      <c r="BB41" s="395" t="s">
        <v>621</v>
      </c>
      <c r="BC41" s="395">
        <v>0</v>
      </c>
      <c r="BD41" s="395" t="s">
        <v>621</v>
      </c>
      <c r="BE41" s="395" t="s">
        <v>621</v>
      </c>
      <c r="BF41" s="395" t="s">
        <v>621</v>
      </c>
      <c r="BG41" s="395" t="s">
        <v>621</v>
      </c>
      <c r="BH41" s="395" t="s">
        <v>621</v>
      </c>
      <c r="BI41" s="395" t="s">
        <v>621</v>
      </c>
      <c r="BJ41" s="395" t="s">
        <v>621</v>
      </c>
      <c r="BK41" s="395" t="s">
        <v>621</v>
      </c>
      <c r="BL41" s="395" t="s">
        <v>621</v>
      </c>
      <c r="BM41" s="395" t="s">
        <v>621</v>
      </c>
      <c r="BN41" s="395" t="s">
        <v>621</v>
      </c>
      <c r="BO41" s="395" t="s">
        <v>621</v>
      </c>
      <c r="BP41" s="395" t="s">
        <v>621</v>
      </c>
      <c r="BQ41" s="395" t="s">
        <v>621</v>
      </c>
      <c r="BR41" s="395" t="s">
        <v>621</v>
      </c>
      <c r="BS41" s="395" t="s">
        <v>621</v>
      </c>
      <c r="BT41" s="395" t="s">
        <v>621</v>
      </c>
      <c r="BU41" s="395" t="s">
        <v>621</v>
      </c>
      <c r="BV41" s="395" t="s">
        <v>621</v>
      </c>
      <c r="BW41" s="395" t="s">
        <v>621</v>
      </c>
      <c r="BX41" s="395" t="s">
        <v>621</v>
      </c>
    </row>
    <row r="42" spans="1:76" s="416" customFormat="1" ht="52.5" x14ac:dyDescent="0.25">
      <c r="A42" s="380" t="s">
        <v>1664</v>
      </c>
      <c r="B42" s="381" t="s">
        <v>1676</v>
      </c>
      <c r="C42" s="395" t="s">
        <v>1688</v>
      </c>
      <c r="D42" s="395" t="s">
        <v>621</v>
      </c>
      <c r="E42" s="395" t="s">
        <v>621</v>
      </c>
      <c r="F42" s="395" t="s">
        <v>621</v>
      </c>
      <c r="G42" s="395" t="s">
        <v>621</v>
      </c>
      <c r="H42" s="395" t="s">
        <v>621</v>
      </c>
      <c r="I42" s="395" t="s">
        <v>621</v>
      </c>
      <c r="J42" s="395" t="s">
        <v>621</v>
      </c>
      <c r="K42" s="395" t="s">
        <v>621</v>
      </c>
      <c r="L42" s="395" t="s">
        <v>621</v>
      </c>
      <c r="M42" s="395" t="s">
        <v>621</v>
      </c>
      <c r="N42" s="395" t="s">
        <v>621</v>
      </c>
      <c r="O42" s="395" t="s">
        <v>621</v>
      </c>
      <c r="P42" s="395" t="s">
        <v>621</v>
      </c>
      <c r="Q42" s="395" t="s">
        <v>621</v>
      </c>
      <c r="R42" s="395" t="s">
        <v>621</v>
      </c>
      <c r="S42" s="395">
        <v>0</v>
      </c>
      <c r="T42" s="395" t="s">
        <v>621</v>
      </c>
      <c r="U42" s="395" t="s">
        <v>621</v>
      </c>
      <c r="V42" s="395" t="s">
        <v>621</v>
      </c>
      <c r="W42" s="395" t="s">
        <v>621</v>
      </c>
      <c r="X42" s="395" t="s">
        <v>621</v>
      </c>
      <c r="Y42" s="395">
        <v>0</v>
      </c>
      <c r="Z42" s="395" t="s">
        <v>621</v>
      </c>
      <c r="AA42" s="395" t="s">
        <v>621</v>
      </c>
      <c r="AB42" s="395" t="s">
        <v>621</v>
      </c>
      <c r="AC42" s="395" t="s">
        <v>621</v>
      </c>
      <c r="AD42" s="395" t="s">
        <v>621</v>
      </c>
      <c r="AE42" s="395" t="s">
        <v>621</v>
      </c>
      <c r="AF42" s="395" t="s">
        <v>621</v>
      </c>
      <c r="AG42" s="395" t="s">
        <v>621</v>
      </c>
      <c r="AH42" s="931" t="s">
        <v>825</v>
      </c>
      <c r="AI42" s="395" t="s">
        <v>621</v>
      </c>
      <c r="AJ42" s="395" t="s">
        <v>621</v>
      </c>
      <c r="AK42" s="931">
        <f>'4'!AS42</f>
        <v>0.379</v>
      </c>
      <c r="AL42" s="395" t="s">
        <v>621</v>
      </c>
      <c r="AM42" s="395" t="s">
        <v>621</v>
      </c>
      <c r="AN42" s="395" t="s">
        <v>621</v>
      </c>
      <c r="AO42" s="395" t="s">
        <v>621</v>
      </c>
      <c r="AP42" s="395" t="s">
        <v>621</v>
      </c>
      <c r="AQ42" s="395">
        <v>0</v>
      </c>
      <c r="AR42" s="395" t="s">
        <v>621</v>
      </c>
      <c r="AS42" s="395" t="s">
        <v>621</v>
      </c>
      <c r="AT42" s="395" t="s">
        <v>621</v>
      </c>
      <c r="AU42" s="395" t="s">
        <v>621</v>
      </c>
      <c r="AV42" s="395" t="s">
        <v>621</v>
      </c>
      <c r="AW42" s="395">
        <v>0</v>
      </c>
      <c r="AX42" s="395" t="s">
        <v>621</v>
      </c>
      <c r="AY42" s="395" t="s">
        <v>621</v>
      </c>
      <c r="AZ42" s="395" t="s">
        <v>621</v>
      </c>
      <c r="BA42" s="395" t="s">
        <v>621</v>
      </c>
      <c r="BB42" s="395" t="s">
        <v>621</v>
      </c>
      <c r="BC42" s="395">
        <v>0</v>
      </c>
      <c r="BD42" s="395" t="s">
        <v>621</v>
      </c>
      <c r="BE42" s="395" t="s">
        <v>621</v>
      </c>
      <c r="BF42" s="395" t="s">
        <v>621</v>
      </c>
      <c r="BG42" s="395" t="s">
        <v>621</v>
      </c>
      <c r="BH42" s="395" t="s">
        <v>621</v>
      </c>
      <c r="BI42" s="395" t="s">
        <v>621</v>
      </c>
      <c r="BJ42" s="395" t="s">
        <v>621</v>
      </c>
      <c r="BK42" s="395" t="s">
        <v>621</v>
      </c>
      <c r="BL42" s="395" t="s">
        <v>621</v>
      </c>
      <c r="BM42" s="395" t="s">
        <v>621</v>
      </c>
      <c r="BN42" s="395" t="s">
        <v>621</v>
      </c>
      <c r="BO42" s="395" t="s">
        <v>621</v>
      </c>
      <c r="BP42" s="395" t="s">
        <v>621</v>
      </c>
      <c r="BQ42" s="395" t="s">
        <v>621</v>
      </c>
      <c r="BR42" s="395" t="s">
        <v>621</v>
      </c>
      <c r="BS42" s="395" t="s">
        <v>621</v>
      </c>
      <c r="BT42" s="395" t="s">
        <v>621</v>
      </c>
      <c r="BU42" s="395" t="s">
        <v>621</v>
      </c>
      <c r="BV42" s="395" t="s">
        <v>621</v>
      </c>
      <c r="BW42" s="395" t="s">
        <v>621</v>
      </c>
      <c r="BX42" s="395" t="s">
        <v>621</v>
      </c>
    </row>
    <row r="43" spans="1:76" s="416" customFormat="1" ht="52.5" x14ac:dyDescent="0.25">
      <c r="A43" s="380" t="s">
        <v>1665</v>
      </c>
      <c r="B43" s="381" t="s">
        <v>1677</v>
      </c>
      <c r="C43" s="395" t="s">
        <v>1689</v>
      </c>
      <c r="D43" s="395" t="s">
        <v>621</v>
      </c>
      <c r="E43" s="395" t="s">
        <v>621</v>
      </c>
      <c r="F43" s="395" t="s">
        <v>621</v>
      </c>
      <c r="G43" s="395" t="s">
        <v>621</v>
      </c>
      <c r="H43" s="395" t="s">
        <v>621</v>
      </c>
      <c r="I43" s="395" t="s">
        <v>621</v>
      </c>
      <c r="J43" s="395" t="s">
        <v>621</v>
      </c>
      <c r="K43" s="395" t="s">
        <v>621</v>
      </c>
      <c r="L43" s="395" t="s">
        <v>621</v>
      </c>
      <c r="M43" s="395" t="s">
        <v>621</v>
      </c>
      <c r="N43" s="395" t="s">
        <v>621</v>
      </c>
      <c r="O43" s="395" t="s">
        <v>621</v>
      </c>
      <c r="P43" s="395" t="s">
        <v>621</v>
      </c>
      <c r="Q43" s="395" t="s">
        <v>621</v>
      </c>
      <c r="R43" s="395" t="s">
        <v>621</v>
      </c>
      <c r="S43" s="395">
        <v>0</v>
      </c>
      <c r="T43" s="395" t="s">
        <v>621</v>
      </c>
      <c r="U43" s="395" t="s">
        <v>621</v>
      </c>
      <c r="V43" s="395" t="s">
        <v>621</v>
      </c>
      <c r="W43" s="395" t="s">
        <v>621</v>
      </c>
      <c r="X43" s="395" t="s">
        <v>621</v>
      </c>
      <c r="Y43" s="395">
        <v>0</v>
      </c>
      <c r="Z43" s="395" t="s">
        <v>621</v>
      </c>
      <c r="AA43" s="395" t="s">
        <v>621</v>
      </c>
      <c r="AB43" s="395" t="s">
        <v>621</v>
      </c>
      <c r="AC43" s="395" t="s">
        <v>621</v>
      </c>
      <c r="AD43" s="395" t="s">
        <v>621</v>
      </c>
      <c r="AE43" s="395" t="s">
        <v>621</v>
      </c>
      <c r="AF43" s="395" t="s">
        <v>621</v>
      </c>
      <c r="AG43" s="395" t="s">
        <v>621</v>
      </c>
      <c r="AH43" s="931" t="s">
        <v>825</v>
      </c>
      <c r="AI43" s="395" t="s">
        <v>621</v>
      </c>
      <c r="AJ43" s="395" t="s">
        <v>621</v>
      </c>
      <c r="AK43" s="931">
        <f>'4'!AS43</f>
        <v>0.15740000000000001</v>
      </c>
      <c r="AL43" s="395" t="s">
        <v>621</v>
      </c>
      <c r="AM43" s="395" t="s">
        <v>621</v>
      </c>
      <c r="AN43" s="395" t="s">
        <v>621</v>
      </c>
      <c r="AO43" s="395" t="s">
        <v>621</v>
      </c>
      <c r="AP43" s="395" t="s">
        <v>621</v>
      </c>
      <c r="AQ43" s="395">
        <v>0</v>
      </c>
      <c r="AR43" s="395" t="s">
        <v>621</v>
      </c>
      <c r="AS43" s="395" t="s">
        <v>621</v>
      </c>
      <c r="AT43" s="395" t="s">
        <v>621</v>
      </c>
      <c r="AU43" s="395" t="s">
        <v>621</v>
      </c>
      <c r="AV43" s="395" t="s">
        <v>621</v>
      </c>
      <c r="AW43" s="395">
        <v>0</v>
      </c>
      <c r="AX43" s="395" t="s">
        <v>621</v>
      </c>
      <c r="AY43" s="395" t="s">
        <v>621</v>
      </c>
      <c r="AZ43" s="395" t="s">
        <v>621</v>
      </c>
      <c r="BA43" s="395" t="s">
        <v>621</v>
      </c>
      <c r="BB43" s="395" t="s">
        <v>621</v>
      </c>
      <c r="BC43" s="395">
        <v>0</v>
      </c>
      <c r="BD43" s="395" t="s">
        <v>621</v>
      </c>
      <c r="BE43" s="395" t="s">
        <v>621</v>
      </c>
      <c r="BF43" s="395" t="s">
        <v>621</v>
      </c>
      <c r="BG43" s="395" t="s">
        <v>621</v>
      </c>
      <c r="BH43" s="395" t="s">
        <v>621</v>
      </c>
      <c r="BI43" s="395" t="s">
        <v>621</v>
      </c>
      <c r="BJ43" s="395" t="s">
        <v>621</v>
      </c>
      <c r="BK43" s="395" t="s">
        <v>621</v>
      </c>
      <c r="BL43" s="395" t="s">
        <v>621</v>
      </c>
      <c r="BM43" s="395" t="s">
        <v>621</v>
      </c>
      <c r="BN43" s="395" t="s">
        <v>621</v>
      </c>
      <c r="BO43" s="395" t="s">
        <v>621</v>
      </c>
      <c r="BP43" s="395" t="s">
        <v>621</v>
      </c>
      <c r="BQ43" s="395" t="s">
        <v>621</v>
      </c>
      <c r="BR43" s="395" t="s">
        <v>621</v>
      </c>
      <c r="BS43" s="395" t="s">
        <v>621</v>
      </c>
      <c r="BT43" s="395" t="s">
        <v>621</v>
      </c>
      <c r="BU43" s="395" t="s">
        <v>621</v>
      </c>
      <c r="BV43" s="395" t="s">
        <v>621</v>
      </c>
      <c r="BW43" s="395" t="s">
        <v>621</v>
      </c>
      <c r="BX43" s="395" t="s">
        <v>621</v>
      </c>
    </row>
    <row r="44" spans="1:76" s="416" customFormat="1" ht="52.5" x14ac:dyDescent="0.25">
      <c r="A44" s="380" t="s">
        <v>1666</v>
      </c>
      <c r="B44" s="381" t="s">
        <v>1678</v>
      </c>
      <c r="C44" s="395" t="s">
        <v>1690</v>
      </c>
      <c r="D44" s="395" t="s">
        <v>621</v>
      </c>
      <c r="E44" s="395" t="s">
        <v>621</v>
      </c>
      <c r="F44" s="395" t="s">
        <v>621</v>
      </c>
      <c r="G44" s="395" t="s">
        <v>621</v>
      </c>
      <c r="H44" s="395" t="s">
        <v>621</v>
      </c>
      <c r="I44" s="395" t="s">
        <v>621</v>
      </c>
      <c r="J44" s="395" t="s">
        <v>621</v>
      </c>
      <c r="K44" s="395" t="s">
        <v>621</v>
      </c>
      <c r="L44" s="395" t="s">
        <v>621</v>
      </c>
      <c r="M44" s="395" t="s">
        <v>621</v>
      </c>
      <c r="N44" s="395" t="s">
        <v>621</v>
      </c>
      <c r="O44" s="395" t="s">
        <v>621</v>
      </c>
      <c r="P44" s="395" t="s">
        <v>621</v>
      </c>
      <c r="Q44" s="395" t="s">
        <v>621</v>
      </c>
      <c r="R44" s="395" t="s">
        <v>621</v>
      </c>
      <c r="S44" s="395">
        <v>0</v>
      </c>
      <c r="T44" s="395" t="s">
        <v>621</v>
      </c>
      <c r="U44" s="395" t="s">
        <v>621</v>
      </c>
      <c r="V44" s="395" t="s">
        <v>621</v>
      </c>
      <c r="W44" s="395" t="s">
        <v>621</v>
      </c>
      <c r="X44" s="395" t="s">
        <v>621</v>
      </c>
      <c r="Y44" s="395">
        <v>0</v>
      </c>
      <c r="Z44" s="395" t="s">
        <v>621</v>
      </c>
      <c r="AA44" s="395" t="s">
        <v>621</v>
      </c>
      <c r="AB44" s="395" t="s">
        <v>621</v>
      </c>
      <c r="AC44" s="395" t="s">
        <v>621</v>
      </c>
      <c r="AD44" s="395" t="s">
        <v>621</v>
      </c>
      <c r="AE44" s="395" t="s">
        <v>621</v>
      </c>
      <c r="AF44" s="395" t="s">
        <v>621</v>
      </c>
      <c r="AG44" s="395" t="s">
        <v>621</v>
      </c>
      <c r="AH44" s="931" t="s">
        <v>825</v>
      </c>
      <c r="AI44" s="395" t="s">
        <v>621</v>
      </c>
      <c r="AJ44" s="395" t="s">
        <v>621</v>
      </c>
      <c r="AK44" s="931">
        <f>'4'!AS44</f>
        <v>0.37</v>
      </c>
      <c r="AL44" s="395" t="s">
        <v>621</v>
      </c>
      <c r="AM44" s="395" t="s">
        <v>621</v>
      </c>
      <c r="AN44" s="395" t="s">
        <v>621</v>
      </c>
      <c r="AO44" s="395" t="s">
        <v>621</v>
      </c>
      <c r="AP44" s="395" t="s">
        <v>621</v>
      </c>
      <c r="AQ44" s="395">
        <v>0</v>
      </c>
      <c r="AR44" s="395" t="s">
        <v>621</v>
      </c>
      <c r="AS44" s="395" t="s">
        <v>621</v>
      </c>
      <c r="AT44" s="395" t="s">
        <v>621</v>
      </c>
      <c r="AU44" s="395" t="s">
        <v>621</v>
      </c>
      <c r="AV44" s="395" t="s">
        <v>621</v>
      </c>
      <c r="AW44" s="395">
        <v>0</v>
      </c>
      <c r="AX44" s="395" t="s">
        <v>621</v>
      </c>
      <c r="AY44" s="395" t="s">
        <v>621</v>
      </c>
      <c r="AZ44" s="395" t="s">
        <v>621</v>
      </c>
      <c r="BA44" s="395" t="s">
        <v>621</v>
      </c>
      <c r="BB44" s="395" t="s">
        <v>621</v>
      </c>
      <c r="BC44" s="395">
        <v>0</v>
      </c>
      <c r="BD44" s="395" t="s">
        <v>621</v>
      </c>
      <c r="BE44" s="395" t="s">
        <v>621</v>
      </c>
      <c r="BF44" s="395" t="s">
        <v>621</v>
      </c>
      <c r="BG44" s="395" t="s">
        <v>621</v>
      </c>
      <c r="BH44" s="395" t="s">
        <v>621</v>
      </c>
      <c r="BI44" s="395" t="s">
        <v>621</v>
      </c>
      <c r="BJ44" s="395" t="s">
        <v>621</v>
      </c>
      <c r="BK44" s="395" t="s">
        <v>621</v>
      </c>
      <c r="BL44" s="395" t="s">
        <v>621</v>
      </c>
      <c r="BM44" s="395" t="s">
        <v>621</v>
      </c>
      <c r="BN44" s="395" t="s">
        <v>621</v>
      </c>
      <c r="BO44" s="395" t="s">
        <v>621</v>
      </c>
      <c r="BP44" s="395" t="s">
        <v>621</v>
      </c>
      <c r="BQ44" s="395" t="s">
        <v>621</v>
      </c>
      <c r="BR44" s="395" t="s">
        <v>621</v>
      </c>
      <c r="BS44" s="395" t="s">
        <v>621</v>
      </c>
      <c r="BT44" s="395" t="s">
        <v>621</v>
      </c>
      <c r="BU44" s="395" t="s">
        <v>621</v>
      </c>
      <c r="BV44" s="395" t="s">
        <v>621</v>
      </c>
      <c r="BW44" s="395" t="s">
        <v>621</v>
      </c>
      <c r="BX44" s="395" t="s">
        <v>621</v>
      </c>
    </row>
    <row r="45" spans="1:76" s="416" customFormat="1" ht="52.5" x14ac:dyDescent="0.25">
      <c r="A45" s="380" t="s">
        <v>1667</v>
      </c>
      <c r="B45" s="381" t="s">
        <v>1679</v>
      </c>
      <c r="C45" s="395" t="s">
        <v>1691</v>
      </c>
      <c r="D45" s="395" t="s">
        <v>621</v>
      </c>
      <c r="E45" s="395" t="s">
        <v>621</v>
      </c>
      <c r="F45" s="395" t="s">
        <v>621</v>
      </c>
      <c r="G45" s="395" t="s">
        <v>621</v>
      </c>
      <c r="H45" s="395" t="s">
        <v>621</v>
      </c>
      <c r="I45" s="395" t="s">
        <v>621</v>
      </c>
      <c r="J45" s="395" t="s">
        <v>621</v>
      </c>
      <c r="K45" s="395" t="s">
        <v>621</v>
      </c>
      <c r="L45" s="395" t="s">
        <v>621</v>
      </c>
      <c r="M45" s="395" t="s">
        <v>621</v>
      </c>
      <c r="N45" s="395" t="s">
        <v>621</v>
      </c>
      <c r="O45" s="395" t="s">
        <v>621</v>
      </c>
      <c r="P45" s="395" t="s">
        <v>621</v>
      </c>
      <c r="Q45" s="395" t="s">
        <v>621</v>
      </c>
      <c r="R45" s="395" t="s">
        <v>621</v>
      </c>
      <c r="S45" s="395">
        <v>0</v>
      </c>
      <c r="T45" s="395" t="s">
        <v>621</v>
      </c>
      <c r="U45" s="395" t="s">
        <v>621</v>
      </c>
      <c r="V45" s="395" t="s">
        <v>621</v>
      </c>
      <c r="W45" s="395" t="s">
        <v>621</v>
      </c>
      <c r="X45" s="395" t="s">
        <v>621</v>
      </c>
      <c r="Y45" s="395">
        <v>0</v>
      </c>
      <c r="Z45" s="395" t="s">
        <v>621</v>
      </c>
      <c r="AA45" s="395" t="s">
        <v>621</v>
      </c>
      <c r="AB45" s="395" t="s">
        <v>621</v>
      </c>
      <c r="AC45" s="395" t="s">
        <v>621</v>
      </c>
      <c r="AD45" s="395" t="s">
        <v>621</v>
      </c>
      <c r="AE45" s="395" t="s">
        <v>621</v>
      </c>
      <c r="AF45" s="395" t="s">
        <v>621</v>
      </c>
      <c r="AG45" s="395" t="s">
        <v>621</v>
      </c>
      <c r="AH45" s="931" t="s">
        <v>825</v>
      </c>
      <c r="AI45" s="395" t="s">
        <v>621</v>
      </c>
      <c r="AJ45" s="395" t="s">
        <v>621</v>
      </c>
      <c r="AK45" s="931">
        <f>'4'!AS45</f>
        <v>0.45400000000000001</v>
      </c>
      <c r="AL45" s="395" t="s">
        <v>621</v>
      </c>
      <c r="AM45" s="395" t="s">
        <v>621</v>
      </c>
      <c r="AN45" s="395" t="s">
        <v>621</v>
      </c>
      <c r="AO45" s="395" t="s">
        <v>621</v>
      </c>
      <c r="AP45" s="395" t="s">
        <v>621</v>
      </c>
      <c r="AQ45" s="395">
        <v>0</v>
      </c>
      <c r="AR45" s="395" t="s">
        <v>621</v>
      </c>
      <c r="AS45" s="395" t="s">
        <v>621</v>
      </c>
      <c r="AT45" s="395" t="s">
        <v>621</v>
      </c>
      <c r="AU45" s="395" t="s">
        <v>621</v>
      </c>
      <c r="AV45" s="395" t="s">
        <v>621</v>
      </c>
      <c r="AW45" s="395">
        <v>0</v>
      </c>
      <c r="AX45" s="395" t="s">
        <v>621</v>
      </c>
      <c r="AY45" s="395" t="s">
        <v>621</v>
      </c>
      <c r="AZ45" s="395" t="s">
        <v>621</v>
      </c>
      <c r="BA45" s="395" t="s">
        <v>621</v>
      </c>
      <c r="BB45" s="395" t="s">
        <v>621</v>
      </c>
      <c r="BC45" s="395">
        <v>0</v>
      </c>
      <c r="BD45" s="395" t="s">
        <v>621</v>
      </c>
      <c r="BE45" s="395" t="s">
        <v>621</v>
      </c>
      <c r="BF45" s="395" t="s">
        <v>621</v>
      </c>
      <c r="BG45" s="395" t="s">
        <v>621</v>
      </c>
      <c r="BH45" s="395" t="s">
        <v>621</v>
      </c>
      <c r="BI45" s="395" t="s">
        <v>621</v>
      </c>
      <c r="BJ45" s="395" t="s">
        <v>621</v>
      </c>
      <c r="BK45" s="395" t="s">
        <v>621</v>
      </c>
      <c r="BL45" s="395" t="s">
        <v>621</v>
      </c>
      <c r="BM45" s="395" t="s">
        <v>621</v>
      </c>
      <c r="BN45" s="395" t="s">
        <v>621</v>
      </c>
      <c r="BO45" s="395" t="s">
        <v>621</v>
      </c>
      <c r="BP45" s="395" t="s">
        <v>621</v>
      </c>
      <c r="BQ45" s="395" t="s">
        <v>621</v>
      </c>
      <c r="BR45" s="395" t="s">
        <v>621</v>
      </c>
      <c r="BS45" s="395" t="s">
        <v>621</v>
      </c>
      <c r="BT45" s="395" t="s">
        <v>621</v>
      </c>
      <c r="BU45" s="395" t="s">
        <v>621</v>
      </c>
      <c r="BV45" s="395" t="s">
        <v>621</v>
      </c>
      <c r="BW45" s="395" t="s">
        <v>621</v>
      </c>
      <c r="BX45" s="395" t="s">
        <v>621</v>
      </c>
    </row>
    <row r="46" spans="1:76" s="416" customFormat="1" ht="52.5" x14ac:dyDescent="0.25">
      <c r="A46" s="380" t="s">
        <v>1668</v>
      </c>
      <c r="B46" s="381" t="s">
        <v>1680</v>
      </c>
      <c r="C46" s="395" t="s">
        <v>1692</v>
      </c>
      <c r="D46" s="395" t="s">
        <v>621</v>
      </c>
      <c r="E46" s="395" t="s">
        <v>621</v>
      </c>
      <c r="F46" s="395" t="s">
        <v>621</v>
      </c>
      <c r="G46" s="395" t="s">
        <v>621</v>
      </c>
      <c r="H46" s="395" t="s">
        <v>621</v>
      </c>
      <c r="I46" s="395" t="s">
        <v>621</v>
      </c>
      <c r="J46" s="395" t="s">
        <v>621</v>
      </c>
      <c r="K46" s="395" t="s">
        <v>621</v>
      </c>
      <c r="L46" s="395" t="s">
        <v>621</v>
      </c>
      <c r="M46" s="395" t="s">
        <v>621</v>
      </c>
      <c r="N46" s="395" t="s">
        <v>621</v>
      </c>
      <c r="O46" s="395" t="s">
        <v>621</v>
      </c>
      <c r="P46" s="395" t="s">
        <v>621</v>
      </c>
      <c r="Q46" s="395" t="s">
        <v>621</v>
      </c>
      <c r="R46" s="395" t="s">
        <v>621</v>
      </c>
      <c r="S46" s="395">
        <v>0</v>
      </c>
      <c r="T46" s="395" t="s">
        <v>621</v>
      </c>
      <c r="U46" s="395" t="s">
        <v>621</v>
      </c>
      <c r="V46" s="395" t="s">
        <v>621</v>
      </c>
      <c r="W46" s="395" t="s">
        <v>621</v>
      </c>
      <c r="X46" s="395" t="s">
        <v>621</v>
      </c>
      <c r="Y46" s="395">
        <v>0</v>
      </c>
      <c r="Z46" s="395" t="s">
        <v>621</v>
      </c>
      <c r="AA46" s="395" t="s">
        <v>621</v>
      </c>
      <c r="AB46" s="395" t="s">
        <v>621</v>
      </c>
      <c r="AC46" s="395" t="s">
        <v>621</v>
      </c>
      <c r="AD46" s="395" t="s">
        <v>621</v>
      </c>
      <c r="AE46" s="395" t="s">
        <v>621</v>
      </c>
      <c r="AF46" s="395" t="s">
        <v>621</v>
      </c>
      <c r="AG46" s="395" t="s">
        <v>621</v>
      </c>
      <c r="AH46" s="931" t="s">
        <v>825</v>
      </c>
      <c r="AI46" s="395" t="s">
        <v>621</v>
      </c>
      <c r="AJ46" s="395" t="s">
        <v>621</v>
      </c>
      <c r="AK46" s="931">
        <f>'4'!AS46</f>
        <v>0.36899999999999999</v>
      </c>
      <c r="AL46" s="395" t="s">
        <v>621</v>
      </c>
      <c r="AM46" s="395" t="s">
        <v>621</v>
      </c>
      <c r="AN46" s="395" t="s">
        <v>621</v>
      </c>
      <c r="AO46" s="395" t="s">
        <v>621</v>
      </c>
      <c r="AP46" s="395" t="s">
        <v>621</v>
      </c>
      <c r="AQ46" s="395">
        <v>0</v>
      </c>
      <c r="AR46" s="395" t="s">
        <v>621</v>
      </c>
      <c r="AS46" s="395" t="s">
        <v>621</v>
      </c>
      <c r="AT46" s="395" t="s">
        <v>621</v>
      </c>
      <c r="AU46" s="395" t="s">
        <v>621</v>
      </c>
      <c r="AV46" s="395" t="s">
        <v>621</v>
      </c>
      <c r="AW46" s="395">
        <v>0</v>
      </c>
      <c r="AX46" s="395" t="s">
        <v>621</v>
      </c>
      <c r="AY46" s="395" t="s">
        <v>621</v>
      </c>
      <c r="AZ46" s="395" t="s">
        <v>621</v>
      </c>
      <c r="BA46" s="395" t="s">
        <v>621</v>
      </c>
      <c r="BB46" s="395" t="s">
        <v>621</v>
      </c>
      <c r="BC46" s="395">
        <v>0</v>
      </c>
      <c r="BD46" s="395" t="s">
        <v>621</v>
      </c>
      <c r="BE46" s="395" t="s">
        <v>621</v>
      </c>
      <c r="BF46" s="395" t="s">
        <v>621</v>
      </c>
      <c r="BG46" s="395" t="s">
        <v>621</v>
      </c>
      <c r="BH46" s="395" t="s">
        <v>621</v>
      </c>
      <c r="BI46" s="395" t="s">
        <v>621</v>
      </c>
      <c r="BJ46" s="395" t="s">
        <v>621</v>
      </c>
      <c r="BK46" s="395" t="s">
        <v>621</v>
      </c>
      <c r="BL46" s="395" t="s">
        <v>621</v>
      </c>
      <c r="BM46" s="395" t="s">
        <v>621</v>
      </c>
      <c r="BN46" s="395" t="s">
        <v>621</v>
      </c>
      <c r="BO46" s="395" t="s">
        <v>621</v>
      </c>
      <c r="BP46" s="395" t="s">
        <v>621</v>
      </c>
      <c r="BQ46" s="395" t="s">
        <v>621</v>
      </c>
      <c r="BR46" s="395" t="s">
        <v>621</v>
      </c>
      <c r="BS46" s="395" t="s">
        <v>621</v>
      </c>
      <c r="BT46" s="395" t="s">
        <v>621</v>
      </c>
      <c r="BU46" s="395" t="s">
        <v>621</v>
      </c>
      <c r="BV46" s="395" t="s">
        <v>621</v>
      </c>
      <c r="BW46" s="395" t="s">
        <v>621</v>
      </c>
      <c r="BX46" s="395" t="s">
        <v>621</v>
      </c>
    </row>
    <row r="47" spans="1:76" s="416" customFormat="1" ht="52.5" x14ac:dyDescent="0.25">
      <c r="A47" s="380" t="s">
        <v>1669</v>
      </c>
      <c r="B47" s="381" t="s">
        <v>1681</v>
      </c>
      <c r="C47" s="395" t="s">
        <v>1693</v>
      </c>
      <c r="D47" s="395" t="s">
        <v>621</v>
      </c>
      <c r="E47" s="395" t="s">
        <v>621</v>
      </c>
      <c r="F47" s="395" t="s">
        <v>621</v>
      </c>
      <c r="G47" s="395" t="s">
        <v>621</v>
      </c>
      <c r="H47" s="395" t="s">
        <v>621</v>
      </c>
      <c r="I47" s="395" t="s">
        <v>621</v>
      </c>
      <c r="J47" s="395" t="s">
        <v>621</v>
      </c>
      <c r="K47" s="395" t="s">
        <v>621</v>
      </c>
      <c r="L47" s="395" t="s">
        <v>621</v>
      </c>
      <c r="M47" s="395" t="s">
        <v>621</v>
      </c>
      <c r="N47" s="395" t="s">
        <v>621</v>
      </c>
      <c r="O47" s="395" t="s">
        <v>621</v>
      </c>
      <c r="P47" s="395" t="s">
        <v>621</v>
      </c>
      <c r="Q47" s="395" t="s">
        <v>621</v>
      </c>
      <c r="R47" s="395" t="s">
        <v>621</v>
      </c>
      <c r="S47" s="395">
        <v>0</v>
      </c>
      <c r="T47" s="395" t="s">
        <v>621</v>
      </c>
      <c r="U47" s="395" t="s">
        <v>621</v>
      </c>
      <c r="V47" s="395" t="s">
        <v>621</v>
      </c>
      <c r="W47" s="395" t="s">
        <v>621</v>
      </c>
      <c r="X47" s="395" t="s">
        <v>621</v>
      </c>
      <c r="Y47" s="395">
        <v>0</v>
      </c>
      <c r="Z47" s="395" t="s">
        <v>621</v>
      </c>
      <c r="AA47" s="395" t="s">
        <v>621</v>
      </c>
      <c r="AB47" s="395" t="s">
        <v>621</v>
      </c>
      <c r="AC47" s="395" t="s">
        <v>621</v>
      </c>
      <c r="AD47" s="395" t="s">
        <v>621</v>
      </c>
      <c r="AE47" s="395" t="s">
        <v>621</v>
      </c>
      <c r="AF47" s="395" t="s">
        <v>621</v>
      </c>
      <c r="AG47" s="395" t="s">
        <v>621</v>
      </c>
      <c r="AH47" s="931" t="s">
        <v>825</v>
      </c>
      <c r="AI47" s="395" t="s">
        <v>621</v>
      </c>
      <c r="AJ47" s="395" t="s">
        <v>621</v>
      </c>
      <c r="AK47" s="931">
        <f>'4'!AS47</f>
        <v>1.032</v>
      </c>
      <c r="AL47" s="395" t="s">
        <v>621</v>
      </c>
      <c r="AM47" s="395" t="s">
        <v>621</v>
      </c>
      <c r="AN47" s="395" t="s">
        <v>621</v>
      </c>
      <c r="AO47" s="395" t="s">
        <v>621</v>
      </c>
      <c r="AP47" s="395" t="s">
        <v>621</v>
      </c>
      <c r="AQ47" s="395">
        <v>0</v>
      </c>
      <c r="AR47" s="395" t="s">
        <v>621</v>
      </c>
      <c r="AS47" s="395" t="s">
        <v>621</v>
      </c>
      <c r="AT47" s="395" t="s">
        <v>621</v>
      </c>
      <c r="AU47" s="395" t="s">
        <v>621</v>
      </c>
      <c r="AV47" s="395" t="s">
        <v>621</v>
      </c>
      <c r="AW47" s="395">
        <v>0</v>
      </c>
      <c r="AX47" s="395" t="s">
        <v>621</v>
      </c>
      <c r="AY47" s="395" t="s">
        <v>621</v>
      </c>
      <c r="AZ47" s="395" t="s">
        <v>621</v>
      </c>
      <c r="BA47" s="395" t="s">
        <v>621</v>
      </c>
      <c r="BB47" s="395" t="s">
        <v>621</v>
      </c>
      <c r="BC47" s="395">
        <v>0</v>
      </c>
      <c r="BD47" s="395" t="s">
        <v>621</v>
      </c>
      <c r="BE47" s="395" t="s">
        <v>621</v>
      </c>
      <c r="BF47" s="395" t="s">
        <v>621</v>
      </c>
      <c r="BG47" s="395" t="s">
        <v>621</v>
      </c>
      <c r="BH47" s="395" t="s">
        <v>621</v>
      </c>
      <c r="BI47" s="395" t="s">
        <v>621</v>
      </c>
      <c r="BJ47" s="395" t="s">
        <v>621</v>
      </c>
      <c r="BK47" s="395" t="s">
        <v>621</v>
      </c>
      <c r="BL47" s="395" t="s">
        <v>621</v>
      </c>
      <c r="BM47" s="395" t="s">
        <v>621</v>
      </c>
      <c r="BN47" s="395" t="s">
        <v>621</v>
      </c>
      <c r="BO47" s="395" t="s">
        <v>621</v>
      </c>
      <c r="BP47" s="395" t="s">
        <v>621</v>
      </c>
      <c r="BQ47" s="395" t="s">
        <v>621</v>
      </c>
      <c r="BR47" s="395" t="s">
        <v>621</v>
      </c>
      <c r="BS47" s="395" t="s">
        <v>621</v>
      </c>
      <c r="BT47" s="395" t="s">
        <v>621</v>
      </c>
      <c r="BU47" s="395" t="s">
        <v>621</v>
      </c>
      <c r="BV47" s="395" t="s">
        <v>621</v>
      </c>
      <c r="BW47" s="395" t="s">
        <v>621</v>
      </c>
      <c r="BX47" s="395" t="s">
        <v>621</v>
      </c>
    </row>
    <row r="48" spans="1:76" s="416" customFormat="1" ht="52.5" x14ac:dyDescent="0.25">
      <c r="A48" s="380" t="s">
        <v>1670</v>
      </c>
      <c r="B48" s="381" t="s">
        <v>1682</v>
      </c>
      <c r="C48" s="395" t="s">
        <v>1694</v>
      </c>
      <c r="D48" s="395" t="s">
        <v>621</v>
      </c>
      <c r="E48" s="395" t="s">
        <v>621</v>
      </c>
      <c r="F48" s="395" t="s">
        <v>621</v>
      </c>
      <c r="G48" s="395" t="s">
        <v>621</v>
      </c>
      <c r="H48" s="395" t="s">
        <v>621</v>
      </c>
      <c r="I48" s="395" t="s">
        <v>621</v>
      </c>
      <c r="J48" s="395" t="s">
        <v>621</v>
      </c>
      <c r="K48" s="395" t="s">
        <v>621</v>
      </c>
      <c r="L48" s="395" t="s">
        <v>621</v>
      </c>
      <c r="M48" s="395" t="s">
        <v>621</v>
      </c>
      <c r="N48" s="395" t="s">
        <v>621</v>
      </c>
      <c r="O48" s="395" t="s">
        <v>621</v>
      </c>
      <c r="P48" s="395" t="s">
        <v>621</v>
      </c>
      <c r="Q48" s="395" t="s">
        <v>621</v>
      </c>
      <c r="R48" s="395" t="s">
        <v>621</v>
      </c>
      <c r="S48" s="395">
        <v>0</v>
      </c>
      <c r="T48" s="395" t="s">
        <v>621</v>
      </c>
      <c r="U48" s="395" t="s">
        <v>621</v>
      </c>
      <c r="V48" s="395" t="s">
        <v>621</v>
      </c>
      <c r="W48" s="395" t="s">
        <v>621</v>
      </c>
      <c r="X48" s="395" t="s">
        <v>621</v>
      </c>
      <c r="Y48" s="395">
        <v>0</v>
      </c>
      <c r="Z48" s="395" t="s">
        <v>621</v>
      </c>
      <c r="AA48" s="395" t="s">
        <v>621</v>
      </c>
      <c r="AB48" s="395" t="s">
        <v>621</v>
      </c>
      <c r="AC48" s="395" t="s">
        <v>621</v>
      </c>
      <c r="AD48" s="395" t="s">
        <v>621</v>
      </c>
      <c r="AE48" s="395" t="s">
        <v>621</v>
      </c>
      <c r="AF48" s="395" t="s">
        <v>621</v>
      </c>
      <c r="AG48" s="395" t="s">
        <v>621</v>
      </c>
      <c r="AH48" s="931" t="s">
        <v>825</v>
      </c>
      <c r="AI48" s="395" t="s">
        <v>621</v>
      </c>
      <c r="AJ48" s="395" t="s">
        <v>621</v>
      </c>
      <c r="AK48" s="931">
        <f>'4'!AS48</f>
        <v>0.41299999999999998</v>
      </c>
      <c r="AL48" s="395" t="s">
        <v>621</v>
      </c>
      <c r="AM48" s="395" t="s">
        <v>621</v>
      </c>
      <c r="AN48" s="395" t="s">
        <v>621</v>
      </c>
      <c r="AO48" s="395" t="s">
        <v>621</v>
      </c>
      <c r="AP48" s="395" t="s">
        <v>621</v>
      </c>
      <c r="AQ48" s="395">
        <v>0</v>
      </c>
      <c r="AR48" s="395" t="s">
        <v>621</v>
      </c>
      <c r="AS48" s="395" t="s">
        <v>621</v>
      </c>
      <c r="AT48" s="395" t="s">
        <v>621</v>
      </c>
      <c r="AU48" s="395" t="s">
        <v>621</v>
      </c>
      <c r="AV48" s="395" t="s">
        <v>621</v>
      </c>
      <c r="AW48" s="395">
        <v>0</v>
      </c>
      <c r="AX48" s="395" t="s">
        <v>621</v>
      </c>
      <c r="AY48" s="395" t="s">
        <v>621</v>
      </c>
      <c r="AZ48" s="395" t="s">
        <v>621</v>
      </c>
      <c r="BA48" s="395" t="s">
        <v>621</v>
      </c>
      <c r="BB48" s="395" t="s">
        <v>621</v>
      </c>
      <c r="BC48" s="395">
        <v>0</v>
      </c>
      <c r="BD48" s="395" t="s">
        <v>621</v>
      </c>
      <c r="BE48" s="395" t="s">
        <v>621</v>
      </c>
      <c r="BF48" s="395" t="s">
        <v>621</v>
      </c>
      <c r="BG48" s="395" t="s">
        <v>621</v>
      </c>
      <c r="BH48" s="395" t="s">
        <v>621</v>
      </c>
      <c r="BI48" s="395" t="s">
        <v>621</v>
      </c>
      <c r="BJ48" s="395" t="s">
        <v>621</v>
      </c>
      <c r="BK48" s="395" t="s">
        <v>621</v>
      </c>
      <c r="BL48" s="395" t="s">
        <v>621</v>
      </c>
      <c r="BM48" s="395" t="s">
        <v>621</v>
      </c>
      <c r="BN48" s="395" t="s">
        <v>621</v>
      </c>
      <c r="BO48" s="395" t="s">
        <v>621</v>
      </c>
      <c r="BP48" s="395" t="s">
        <v>621</v>
      </c>
      <c r="BQ48" s="395" t="s">
        <v>621</v>
      </c>
      <c r="BR48" s="395" t="s">
        <v>621</v>
      </c>
      <c r="BS48" s="395" t="s">
        <v>621</v>
      </c>
      <c r="BT48" s="395" t="s">
        <v>621</v>
      </c>
      <c r="BU48" s="395" t="s">
        <v>621</v>
      </c>
      <c r="BV48" s="395" t="s">
        <v>621</v>
      </c>
      <c r="BW48" s="395" t="s">
        <v>621</v>
      </c>
      <c r="BX48" s="395" t="s">
        <v>621</v>
      </c>
    </row>
    <row r="49" spans="1:76" s="416" customFormat="1" ht="78.75" x14ac:dyDescent="0.25">
      <c r="A49" s="380" t="s">
        <v>1716</v>
      </c>
      <c r="B49" s="381" t="s">
        <v>1715</v>
      </c>
      <c r="C49" s="395" t="str">
        <f>'2 (цены с НДС)'!C47</f>
        <v>J_2022_1.2.2.1.25</v>
      </c>
      <c r="D49" s="395" t="s">
        <v>621</v>
      </c>
      <c r="E49" s="395" t="s">
        <v>621</v>
      </c>
      <c r="F49" s="395" t="s">
        <v>621</v>
      </c>
      <c r="G49" s="395" t="s">
        <v>621</v>
      </c>
      <c r="H49" s="395" t="s">
        <v>621</v>
      </c>
      <c r="I49" s="395" t="s">
        <v>621</v>
      </c>
      <c r="J49" s="395" t="s">
        <v>621</v>
      </c>
      <c r="K49" s="395" t="s">
        <v>621</v>
      </c>
      <c r="L49" s="395" t="s">
        <v>621</v>
      </c>
      <c r="M49" s="395" t="s">
        <v>621</v>
      </c>
      <c r="N49" s="395" t="s">
        <v>621</v>
      </c>
      <c r="O49" s="395" t="s">
        <v>621</v>
      </c>
      <c r="P49" s="395" t="s">
        <v>621</v>
      </c>
      <c r="Q49" s="395" t="s">
        <v>621</v>
      </c>
      <c r="R49" s="395" t="s">
        <v>621</v>
      </c>
      <c r="S49" s="395">
        <v>0</v>
      </c>
      <c r="T49" s="395" t="s">
        <v>621</v>
      </c>
      <c r="U49" s="395" t="s">
        <v>621</v>
      </c>
      <c r="V49" s="395" t="s">
        <v>621</v>
      </c>
      <c r="W49" s="395" t="s">
        <v>621</v>
      </c>
      <c r="X49" s="395" t="s">
        <v>621</v>
      </c>
      <c r="Y49" s="395">
        <v>0</v>
      </c>
      <c r="Z49" s="395" t="s">
        <v>621</v>
      </c>
      <c r="AA49" s="395" t="s">
        <v>621</v>
      </c>
      <c r="AB49" s="395" t="s">
        <v>621</v>
      </c>
      <c r="AC49" s="395" t="s">
        <v>621</v>
      </c>
      <c r="AD49" s="395" t="s">
        <v>621</v>
      </c>
      <c r="AE49" s="395" t="s">
        <v>621</v>
      </c>
      <c r="AF49" s="395" t="s">
        <v>621</v>
      </c>
      <c r="AG49" s="395" t="s">
        <v>621</v>
      </c>
      <c r="AH49" s="395" t="s">
        <v>621</v>
      </c>
      <c r="AI49" s="395" t="s">
        <v>621</v>
      </c>
      <c r="AJ49" s="395" t="s">
        <v>621</v>
      </c>
      <c r="AK49" s="395" t="s">
        <v>621</v>
      </c>
      <c r="AL49" s="395" t="s">
        <v>621</v>
      </c>
      <c r="AM49" s="395" t="s">
        <v>621</v>
      </c>
      <c r="AN49" s="395" t="s">
        <v>621</v>
      </c>
      <c r="AO49" s="395" t="s">
        <v>621</v>
      </c>
      <c r="AP49" s="395" t="s">
        <v>621</v>
      </c>
      <c r="AQ49" s="395">
        <v>0</v>
      </c>
      <c r="AR49" s="931" t="s">
        <v>825</v>
      </c>
      <c r="AS49" s="395" t="s">
        <v>621</v>
      </c>
      <c r="AT49" s="395" t="s">
        <v>621</v>
      </c>
      <c r="AU49" s="395" t="s">
        <v>621</v>
      </c>
      <c r="AV49" s="395" t="s">
        <v>621</v>
      </c>
      <c r="AW49" s="931">
        <f>'4'!BG49</f>
        <v>6.96</v>
      </c>
      <c r="AX49" s="395" t="s">
        <v>621</v>
      </c>
      <c r="AY49" s="395" t="s">
        <v>621</v>
      </c>
      <c r="AZ49" s="395" t="s">
        <v>621</v>
      </c>
      <c r="BA49" s="395" t="s">
        <v>621</v>
      </c>
      <c r="BB49" s="395" t="s">
        <v>621</v>
      </c>
      <c r="BC49" s="395">
        <v>0</v>
      </c>
      <c r="BD49" s="395" t="s">
        <v>621</v>
      </c>
      <c r="BE49" s="395" t="s">
        <v>621</v>
      </c>
      <c r="BF49" s="395" t="s">
        <v>621</v>
      </c>
      <c r="BG49" s="395" t="s">
        <v>621</v>
      </c>
      <c r="BH49" s="395" t="s">
        <v>621</v>
      </c>
      <c r="BI49" s="395" t="s">
        <v>621</v>
      </c>
      <c r="BJ49" s="395" t="s">
        <v>621</v>
      </c>
      <c r="BK49" s="395" t="s">
        <v>621</v>
      </c>
      <c r="BL49" s="395" t="s">
        <v>621</v>
      </c>
      <c r="BM49" s="395"/>
      <c r="BN49" s="395"/>
      <c r="BO49" s="395" t="s">
        <v>621</v>
      </c>
      <c r="BP49" s="395" t="s">
        <v>621</v>
      </c>
      <c r="BQ49" s="395" t="s">
        <v>621</v>
      </c>
      <c r="BR49" s="395" t="s">
        <v>621</v>
      </c>
      <c r="BS49" s="395" t="s">
        <v>621</v>
      </c>
      <c r="BT49" s="395" t="s">
        <v>621</v>
      </c>
      <c r="BU49" s="395" t="s">
        <v>621</v>
      </c>
      <c r="BV49" s="395" t="s">
        <v>621</v>
      </c>
      <c r="BW49" s="395" t="s">
        <v>621</v>
      </c>
      <c r="BX49" s="395" t="s">
        <v>621</v>
      </c>
    </row>
    <row r="50" spans="1:76" s="416" customFormat="1" ht="78.75" x14ac:dyDescent="0.25">
      <c r="A50" s="543" t="s">
        <v>546</v>
      </c>
      <c r="B50" s="544" t="s">
        <v>739</v>
      </c>
      <c r="C50" s="550" t="s">
        <v>621</v>
      </c>
      <c r="D50" s="550" t="str">
        <f t="shared" ref="D50:BO50" si="0">D51</f>
        <v>нд</v>
      </c>
      <c r="E50" s="550" t="str">
        <f t="shared" si="0"/>
        <v>нд</v>
      </c>
      <c r="F50" s="550" t="str">
        <f t="shared" si="0"/>
        <v>нд</v>
      </c>
      <c r="G50" s="550" t="str">
        <f t="shared" si="0"/>
        <v>нд</v>
      </c>
      <c r="H50" s="550" t="str">
        <f t="shared" si="0"/>
        <v>нд</v>
      </c>
      <c r="I50" s="550" t="str">
        <f t="shared" si="0"/>
        <v>нд</v>
      </c>
      <c r="J50" s="550" t="str">
        <f t="shared" si="0"/>
        <v>нд</v>
      </c>
      <c r="K50" s="550" t="str">
        <f t="shared" si="0"/>
        <v>нд</v>
      </c>
      <c r="L50" s="550" t="str">
        <f t="shared" si="0"/>
        <v>нд</v>
      </c>
      <c r="M50" s="550" t="str">
        <f t="shared" si="0"/>
        <v>нд</v>
      </c>
      <c r="N50" s="550" t="str">
        <f t="shared" si="0"/>
        <v>нд</v>
      </c>
      <c r="O50" s="550" t="str">
        <f t="shared" si="0"/>
        <v>нд</v>
      </c>
      <c r="P50" s="550" t="str">
        <f t="shared" si="0"/>
        <v>нд</v>
      </c>
      <c r="Q50" s="550" t="str">
        <f t="shared" si="0"/>
        <v>нд</v>
      </c>
      <c r="R50" s="550" t="str">
        <f t="shared" si="0"/>
        <v>нд</v>
      </c>
      <c r="S50" s="550" t="s">
        <v>621</v>
      </c>
      <c r="T50" s="550" t="str">
        <f t="shared" si="0"/>
        <v>нд</v>
      </c>
      <c r="U50" s="550" t="str">
        <f t="shared" si="0"/>
        <v>нд</v>
      </c>
      <c r="V50" s="550" t="str">
        <f t="shared" si="0"/>
        <v>нд</v>
      </c>
      <c r="W50" s="550" t="str">
        <f t="shared" si="0"/>
        <v>нд</v>
      </c>
      <c r="X50" s="550" t="str">
        <f t="shared" si="0"/>
        <v>нд</v>
      </c>
      <c r="Y50" s="550" t="str">
        <f t="shared" si="0"/>
        <v>нд</v>
      </c>
      <c r="Z50" s="550" t="str">
        <f t="shared" si="0"/>
        <v>нд</v>
      </c>
      <c r="AA50" s="550" t="str">
        <f t="shared" si="0"/>
        <v>нд</v>
      </c>
      <c r="AB50" s="550" t="str">
        <f t="shared" si="0"/>
        <v>нд</v>
      </c>
      <c r="AC50" s="550" t="str">
        <f t="shared" si="0"/>
        <v>нд</v>
      </c>
      <c r="AD50" s="550" t="str">
        <f t="shared" si="0"/>
        <v>нд</v>
      </c>
      <c r="AE50" s="550" t="str">
        <f t="shared" si="0"/>
        <v>нд</v>
      </c>
      <c r="AF50" s="550" t="str">
        <f t="shared" si="0"/>
        <v>нд</v>
      </c>
      <c r="AG50" s="550" t="str">
        <f t="shared" si="0"/>
        <v>нд</v>
      </c>
      <c r="AH50" s="550" t="str">
        <f t="shared" si="0"/>
        <v>нд</v>
      </c>
      <c r="AI50" s="550" t="str">
        <f t="shared" si="0"/>
        <v>нд</v>
      </c>
      <c r="AJ50" s="550" t="str">
        <f t="shared" si="0"/>
        <v>нд</v>
      </c>
      <c r="AK50" s="550" t="str">
        <f t="shared" si="0"/>
        <v>нд</v>
      </c>
      <c r="AL50" s="550" t="str">
        <f t="shared" si="0"/>
        <v>нд</v>
      </c>
      <c r="AM50" s="550" t="str">
        <f t="shared" si="0"/>
        <v>нд</v>
      </c>
      <c r="AN50" s="550" t="str">
        <f t="shared" si="0"/>
        <v>нд</v>
      </c>
      <c r="AO50" s="550" t="str">
        <f t="shared" si="0"/>
        <v>нд</v>
      </c>
      <c r="AP50" s="550" t="str">
        <f t="shared" si="0"/>
        <v>нд</v>
      </c>
      <c r="AQ50" s="550" t="str">
        <f t="shared" si="0"/>
        <v>нд</v>
      </c>
      <c r="AR50" s="550" t="str">
        <f t="shared" si="0"/>
        <v>нд</v>
      </c>
      <c r="AS50" s="550" t="str">
        <f t="shared" si="0"/>
        <v>нд</v>
      </c>
      <c r="AT50" s="550" t="str">
        <f t="shared" si="0"/>
        <v>нд</v>
      </c>
      <c r="AU50" s="550" t="str">
        <f t="shared" si="0"/>
        <v>нд</v>
      </c>
      <c r="AV50" s="550" t="str">
        <f t="shared" si="0"/>
        <v>нд</v>
      </c>
      <c r="AW50" s="550" t="str">
        <f t="shared" si="0"/>
        <v>нд</v>
      </c>
      <c r="AX50" s="550" t="str">
        <f t="shared" si="0"/>
        <v>нд</v>
      </c>
      <c r="AY50" s="550" t="str">
        <f t="shared" si="0"/>
        <v>нд</v>
      </c>
      <c r="AZ50" s="550" t="str">
        <f t="shared" si="0"/>
        <v>нд</v>
      </c>
      <c r="BA50" s="550" t="str">
        <f t="shared" si="0"/>
        <v>нд</v>
      </c>
      <c r="BB50" s="550" t="str">
        <f t="shared" si="0"/>
        <v>нд</v>
      </c>
      <c r="BC50" s="550" t="str">
        <f t="shared" si="0"/>
        <v>нд</v>
      </c>
      <c r="BD50" s="550" t="str">
        <f t="shared" si="0"/>
        <v>нд</v>
      </c>
      <c r="BE50" s="550" t="str">
        <f t="shared" si="0"/>
        <v>нд</v>
      </c>
      <c r="BF50" s="550" t="str">
        <f t="shared" si="0"/>
        <v>нд</v>
      </c>
      <c r="BG50" s="550" t="str">
        <f t="shared" si="0"/>
        <v>нд</v>
      </c>
      <c r="BH50" s="550" t="str">
        <f t="shared" si="0"/>
        <v>нд</v>
      </c>
      <c r="BI50" s="550" t="str">
        <f t="shared" si="0"/>
        <v>нд</v>
      </c>
      <c r="BJ50" s="550" t="str">
        <f t="shared" si="0"/>
        <v>нд</v>
      </c>
      <c r="BK50" s="550" t="str">
        <f t="shared" si="0"/>
        <v>нд</v>
      </c>
      <c r="BL50" s="550" t="str">
        <f t="shared" si="0"/>
        <v>нд</v>
      </c>
      <c r="BM50" s="550" t="str">
        <f t="shared" si="0"/>
        <v>нд</v>
      </c>
      <c r="BN50" s="550" t="str">
        <f t="shared" si="0"/>
        <v>нд</v>
      </c>
      <c r="BO50" s="550" t="str">
        <f t="shared" si="0"/>
        <v>нд</v>
      </c>
      <c r="BP50" s="550" t="str">
        <f t="shared" ref="BP50:BW50" si="1">BP51</f>
        <v>нд</v>
      </c>
      <c r="BQ50" s="550" t="str">
        <f t="shared" si="1"/>
        <v>нд</v>
      </c>
      <c r="BR50" s="550" t="str">
        <f t="shared" si="1"/>
        <v>нд</v>
      </c>
      <c r="BS50" s="550" t="str">
        <f t="shared" si="1"/>
        <v>нд</v>
      </c>
      <c r="BT50" s="550" t="str">
        <f t="shared" si="1"/>
        <v>нд</v>
      </c>
      <c r="BU50" s="550" t="str">
        <f t="shared" si="1"/>
        <v>нд</v>
      </c>
      <c r="BV50" s="550" t="str">
        <f t="shared" si="1"/>
        <v>нд</v>
      </c>
      <c r="BW50" s="550" t="str">
        <f t="shared" si="1"/>
        <v>нд</v>
      </c>
      <c r="BX50" s="550" t="s">
        <v>621</v>
      </c>
    </row>
    <row r="51" spans="1:76" s="416" customFormat="1" ht="78.75" x14ac:dyDescent="0.25">
      <c r="A51" s="380" t="s">
        <v>599</v>
      </c>
      <c r="B51" s="381" t="s">
        <v>740</v>
      </c>
      <c r="C51" s="395" t="s">
        <v>621</v>
      </c>
      <c r="D51" s="395" t="s">
        <v>621</v>
      </c>
      <c r="E51" s="395" t="s">
        <v>621</v>
      </c>
      <c r="F51" s="395" t="s">
        <v>621</v>
      </c>
      <c r="G51" s="395" t="s">
        <v>621</v>
      </c>
      <c r="H51" s="395" t="s">
        <v>621</v>
      </c>
      <c r="I51" s="395" t="s">
        <v>621</v>
      </c>
      <c r="J51" s="395" t="s">
        <v>621</v>
      </c>
      <c r="K51" s="395" t="s">
        <v>621</v>
      </c>
      <c r="L51" s="395" t="s">
        <v>621</v>
      </c>
      <c r="M51" s="395" t="s">
        <v>621</v>
      </c>
      <c r="N51" s="395" t="s">
        <v>621</v>
      </c>
      <c r="O51" s="395" t="s">
        <v>621</v>
      </c>
      <c r="P51" s="395" t="s">
        <v>621</v>
      </c>
      <c r="Q51" s="395" t="s">
        <v>621</v>
      </c>
      <c r="R51" s="395" t="s">
        <v>621</v>
      </c>
      <c r="S51" s="395" t="s">
        <v>621</v>
      </c>
      <c r="T51" s="395" t="s">
        <v>621</v>
      </c>
      <c r="U51" s="395" t="s">
        <v>621</v>
      </c>
      <c r="V51" s="395" t="s">
        <v>621</v>
      </c>
      <c r="W51" s="395" t="s">
        <v>621</v>
      </c>
      <c r="X51" s="395" t="s">
        <v>621</v>
      </c>
      <c r="Y51" s="395" t="s">
        <v>621</v>
      </c>
      <c r="Z51" s="395" t="s">
        <v>621</v>
      </c>
      <c r="AA51" s="395" t="s">
        <v>621</v>
      </c>
      <c r="AB51" s="395" t="s">
        <v>621</v>
      </c>
      <c r="AC51" s="395" t="s">
        <v>621</v>
      </c>
      <c r="AD51" s="395" t="s">
        <v>621</v>
      </c>
      <c r="AE51" s="395" t="s">
        <v>621</v>
      </c>
      <c r="AF51" s="395" t="s">
        <v>621</v>
      </c>
      <c r="AG51" s="395" t="s">
        <v>621</v>
      </c>
      <c r="AH51" s="395" t="s">
        <v>621</v>
      </c>
      <c r="AI51" s="395" t="s">
        <v>621</v>
      </c>
      <c r="AJ51" s="395" t="s">
        <v>621</v>
      </c>
      <c r="AK51" s="395" t="s">
        <v>621</v>
      </c>
      <c r="AL51" s="395" t="s">
        <v>621</v>
      </c>
      <c r="AM51" s="395" t="s">
        <v>621</v>
      </c>
      <c r="AN51" s="395" t="s">
        <v>621</v>
      </c>
      <c r="AO51" s="395" t="s">
        <v>621</v>
      </c>
      <c r="AP51" s="395" t="s">
        <v>621</v>
      </c>
      <c r="AQ51" s="395" t="s">
        <v>621</v>
      </c>
      <c r="AR51" s="395" t="s">
        <v>621</v>
      </c>
      <c r="AS51" s="395" t="s">
        <v>621</v>
      </c>
      <c r="AT51" s="395" t="s">
        <v>621</v>
      </c>
      <c r="AU51" s="395" t="s">
        <v>621</v>
      </c>
      <c r="AV51" s="395" t="s">
        <v>621</v>
      </c>
      <c r="AW51" s="395" t="s">
        <v>621</v>
      </c>
      <c r="AX51" s="395" t="s">
        <v>621</v>
      </c>
      <c r="AY51" s="395" t="s">
        <v>621</v>
      </c>
      <c r="AZ51" s="395" t="s">
        <v>621</v>
      </c>
      <c r="BA51" s="395" t="s">
        <v>621</v>
      </c>
      <c r="BB51" s="395" t="s">
        <v>621</v>
      </c>
      <c r="BC51" s="395" t="s">
        <v>621</v>
      </c>
      <c r="BD51" s="395" t="s">
        <v>621</v>
      </c>
      <c r="BE51" s="395" t="s">
        <v>621</v>
      </c>
      <c r="BF51" s="395" t="s">
        <v>621</v>
      </c>
      <c r="BG51" s="395" t="s">
        <v>621</v>
      </c>
      <c r="BH51" s="395" t="s">
        <v>621</v>
      </c>
      <c r="BI51" s="395" t="s">
        <v>621</v>
      </c>
      <c r="BJ51" s="395" t="s">
        <v>621</v>
      </c>
      <c r="BK51" s="395" t="s">
        <v>621</v>
      </c>
      <c r="BL51" s="395" t="s">
        <v>621</v>
      </c>
      <c r="BM51" s="395" t="s">
        <v>621</v>
      </c>
      <c r="BN51" s="395" t="s">
        <v>621</v>
      </c>
      <c r="BO51" s="395" t="s">
        <v>621</v>
      </c>
      <c r="BP51" s="395" t="s">
        <v>621</v>
      </c>
      <c r="BQ51" s="395" t="s">
        <v>621</v>
      </c>
      <c r="BR51" s="395" t="s">
        <v>621</v>
      </c>
      <c r="BS51" s="395" t="s">
        <v>621</v>
      </c>
      <c r="BT51" s="395" t="s">
        <v>621</v>
      </c>
      <c r="BU51" s="395" t="s">
        <v>621</v>
      </c>
      <c r="BV51" s="395" t="s">
        <v>621</v>
      </c>
      <c r="BW51" s="395" t="s">
        <v>621</v>
      </c>
      <c r="BX51" s="395" t="s">
        <v>621</v>
      </c>
    </row>
    <row r="52" spans="1:76" s="416" customFormat="1" ht="55.5" x14ac:dyDescent="0.25">
      <c r="A52" s="551" t="s">
        <v>947</v>
      </c>
      <c r="B52" s="552" t="s">
        <v>948</v>
      </c>
      <c r="C52" s="395" t="s">
        <v>1056</v>
      </c>
      <c r="D52" s="395" t="s">
        <v>621</v>
      </c>
      <c r="E52" s="395" t="s">
        <v>621</v>
      </c>
      <c r="F52" s="395" t="s">
        <v>621</v>
      </c>
      <c r="G52" s="395" t="s">
        <v>621</v>
      </c>
      <c r="H52" s="395" t="s">
        <v>621</v>
      </c>
      <c r="I52" s="395" t="s">
        <v>621</v>
      </c>
      <c r="J52" s="395" t="s">
        <v>621</v>
      </c>
      <c r="K52" s="395" t="s">
        <v>621</v>
      </c>
      <c r="L52" s="395" t="s">
        <v>621</v>
      </c>
      <c r="M52" s="395" t="s">
        <v>621</v>
      </c>
      <c r="N52" s="395" t="s">
        <v>621</v>
      </c>
      <c r="O52" s="395" t="s">
        <v>621</v>
      </c>
      <c r="P52" s="395" t="s">
        <v>621</v>
      </c>
      <c r="Q52" s="395" t="s">
        <v>621</v>
      </c>
      <c r="R52" s="395" t="s">
        <v>621</v>
      </c>
      <c r="S52" s="395" t="s">
        <v>621</v>
      </c>
      <c r="T52" s="395" t="s">
        <v>621</v>
      </c>
      <c r="U52" s="395" t="s">
        <v>621</v>
      </c>
      <c r="V52" s="395" t="s">
        <v>621</v>
      </c>
      <c r="W52" s="395" t="s">
        <v>621</v>
      </c>
      <c r="X52" s="395" t="s">
        <v>621</v>
      </c>
      <c r="Y52" s="395" t="s">
        <v>621</v>
      </c>
      <c r="Z52" s="395" t="s">
        <v>621</v>
      </c>
      <c r="AA52" s="395" t="s">
        <v>621</v>
      </c>
      <c r="AB52" s="395" t="s">
        <v>621</v>
      </c>
      <c r="AC52" s="395" t="s">
        <v>621</v>
      </c>
      <c r="AD52" s="395" t="s">
        <v>621</v>
      </c>
      <c r="AE52" s="395" t="s">
        <v>621</v>
      </c>
      <c r="AF52" s="395" t="s">
        <v>621</v>
      </c>
      <c r="AG52" s="395" t="s">
        <v>621</v>
      </c>
      <c r="AH52" s="395" t="s">
        <v>621</v>
      </c>
      <c r="AI52" s="395" t="s">
        <v>621</v>
      </c>
      <c r="AJ52" s="395" t="s">
        <v>621</v>
      </c>
      <c r="AK52" s="395" t="s">
        <v>621</v>
      </c>
      <c r="AL52" s="395" t="s">
        <v>621</v>
      </c>
      <c r="AM52" s="395" t="s">
        <v>621</v>
      </c>
      <c r="AN52" s="395" t="s">
        <v>621</v>
      </c>
      <c r="AO52" s="395" t="s">
        <v>621</v>
      </c>
      <c r="AP52" s="395" t="s">
        <v>621</v>
      </c>
      <c r="AQ52" s="395" t="s">
        <v>621</v>
      </c>
      <c r="AR52" s="395" t="s">
        <v>621</v>
      </c>
      <c r="AS52" s="395" t="s">
        <v>621</v>
      </c>
      <c r="AT52" s="395" t="s">
        <v>621</v>
      </c>
      <c r="AU52" s="395" t="s">
        <v>621</v>
      </c>
      <c r="AV52" s="395" t="s">
        <v>621</v>
      </c>
      <c r="AW52" s="395" t="s">
        <v>621</v>
      </c>
      <c r="AX52" s="395" t="s">
        <v>621</v>
      </c>
      <c r="AY52" s="395" t="s">
        <v>621</v>
      </c>
      <c r="AZ52" s="395" t="s">
        <v>621</v>
      </c>
      <c r="BA52" s="395" t="s">
        <v>621</v>
      </c>
      <c r="BB52" s="395" t="s">
        <v>621</v>
      </c>
      <c r="BC52" s="395" t="s">
        <v>621</v>
      </c>
      <c r="BD52" s="395" t="s">
        <v>621</v>
      </c>
      <c r="BE52" s="395" t="s">
        <v>621</v>
      </c>
      <c r="BF52" s="395" t="s">
        <v>621</v>
      </c>
      <c r="BG52" s="395" t="s">
        <v>621</v>
      </c>
      <c r="BH52" s="395" t="s">
        <v>621</v>
      </c>
      <c r="BI52" s="395" t="s">
        <v>621</v>
      </c>
      <c r="BJ52" s="395" t="s">
        <v>621</v>
      </c>
      <c r="BK52" s="395" t="s">
        <v>621</v>
      </c>
      <c r="BL52" s="395" t="s">
        <v>621</v>
      </c>
      <c r="BM52" s="395" t="s">
        <v>621</v>
      </c>
      <c r="BN52" s="395" t="s">
        <v>621</v>
      </c>
      <c r="BO52" s="395" t="s">
        <v>621</v>
      </c>
      <c r="BP52" s="395" t="s">
        <v>621</v>
      </c>
      <c r="BQ52" s="395" t="s">
        <v>621</v>
      </c>
      <c r="BR52" s="395" t="s">
        <v>621</v>
      </c>
      <c r="BS52" s="395" t="s">
        <v>621</v>
      </c>
      <c r="BT52" s="395" t="s">
        <v>621</v>
      </c>
      <c r="BU52" s="395" t="s">
        <v>621</v>
      </c>
      <c r="BV52" s="395" t="s">
        <v>621</v>
      </c>
      <c r="BW52" s="395" t="s">
        <v>621</v>
      </c>
      <c r="BX52" s="395" t="s">
        <v>621</v>
      </c>
    </row>
    <row r="53" spans="1:76" s="416" customFormat="1" ht="105" x14ac:dyDescent="0.25">
      <c r="A53" s="386" t="s">
        <v>547</v>
      </c>
      <c r="B53" s="398" t="s">
        <v>705</v>
      </c>
      <c r="C53" s="399" t="s">
        <v>621</v>
      </c>
      <c r="D53" s="399" t="s">
        <v>621</v>
      </c>
      <c r="E53" s="399" t="s">
        <v>621</v>
      </c>
      <c r="F53" s="399" t="s">
        <v>621</v>
      </c>
      <c r="G53" s="399" t="s">
        <v>621</v>
      </c>
      <c r="H53" s="399" t="s">
        <v>621</v>
      </c>
      <c r="I53" s="399" t="s">
        <v>621</v>
      </c>
      <c r="J53" s="399" t="s">
        <v>621</v>
      </c>
      <c r="K53" s="399" t="s">
        <v>621</v>
      </c>
      <c r="L53" s="399" t="s">
        <v>621</v>
      </c>
      <c r="M53" s="399" t="s">
        <v>621</v>
      </c>
      <c r="N53" s="399" t="s">
        <v>621</v>
      </c>
      <c r="O53" s="399" t="s">
        <v>621</v>
      </c>
      <c r="P53" s="399" t="s">
        <v>621</v>
      </c>
      <c r="Q53" s="399">
        <f>Q54</f>
        <v>1.6</v>
      </c>
      <c r="R53" s="399" t="s">
        <v>621</v>
      </c>
      <c r="S53" s="420" t="s">
        <v>621</v>
      </c>
      <c r="T53" s="399" t="s">
        <v>621</v>
      </c>
      <c r="U53" s="399">
        <f>U54</f>
        <v>28</v>
      </c>
      <c r="V53" s="399" t="s">
        <v>621</v>
      </c>
      <c r="W53" s="399">
        <f>W54</f>
        <v>1.6</v>
      </c>
      <c r="X53" s="399" t="s">
        <v>621</v>
      </c>
      <c r="Y53" s="399" t="s">
        <v>621</v>
      </c>
      <c r="Z53" s="399" t="s">
        <v>621</v>
      </c>
      <c r="AA53" s="399">
        <f>AA54</f>
        <v>28</v>
      </c>
      <c r="AB53" s="399"/>
      <c r="AC53" s="399">
        <f>AC54</f>
        <v>0.8</v>
      </c>
      <c r="AD53" s="399" t="s">
        <v>621</v>
      </c>
      <c r="AE53" s="399" t="s">
        <v>621</v>
      </c>
      <c r="AF53" s="399" t="s">
        <v>621</v>
      </c>
      <c r="AG53" s="399">
        <f>AG54</f>
        <v>15</v>
      </c>
      <c r="AH53" s="399" t="s">
        <v>621</v>
      </c>
      <c r="AI53" s="393" t="e">
        <f>AI54</f>
        <v>#VALUE!</v>
      </c>
      <c r="AJ53" s="399" t="s">
        <v>621</v>
      </c>
      <c r="AK53" s="399" t="s">
        <v>621</v>
      </c>
      <c r="AL53" s="399" t="s">
        <v>621</v>
      </c>
      <c r="AM53" s="393">
        <f>AM54</f>
        <v>18</v>
      </c>
      <c r="AN53" s="399" t="s">
        <v>621</v>
      </c>
      <c r="AO53" s="399">
        <f>AO54</f>
        <v>2.06</v>
      </c>
      <c r="AP53" s="399" t="s">
        <v>621</v>
      </c>
      <c r="AQ53" s="399" t="s">
        <v>621</v>
      </c>
      <c r="AR53" s="399" t="s">
        <v>621</v>
      </c>
      <c r="AS53" s="399">
        <f>AS54</f>
        <v>38</v>
      </c>
      <c r="AT53" s="399" t="s">
        <v>621</v>
      </c>
      <c r="AU53" s="399">
        <f>AU54</f>
        <v>1.26</v>
      </c>
      <c r="AV53" s="399" t="s">
        <v>621</v>
      </c>
      <c r="AW53" s="399" t="s">
        <v>621</v>
      </c>
      <c r="AX53" s="399" t="s">
        <v>621</v>
      </c>
      <c r="AY53" s="399">
        <f>AY54</f>
        <v>42</v>
      </c>
      <c r="AZ53" s="399" t="s">
        <v>621</v>
      </c>
      <c r="BA53" s="399">
        <f>BA54</f>
        <v>6.87</v>
      </c>
      <c r="BB53" s="399" t="s">
        <v>621</v>
      </c>
      <c r="BC53" s="399" t="s">
        <v>621</v>
      </c>
      <c r="BD53" s="399" t="s">
        <v>621</v>
      </c>
      <c r="BE53" s="399" t="s">
        <v>621</v>
      </c>
      <c r="BF53" s="399" t="s">
        <v>621</v>
      </c>
      <c r="BG53" s="399">
        <f>BG54</f>
        <v>6.87</v>
      </c>
      <c r="BH53" s="399" t="s">
        <v>621</v>
      </c>
      <c r="BI53" s="399" t="s">
        <v>621</v>
      </c>
      <c r="BJ53" s="399" t="s">
        <v>621</v>
      </c>
      <c r="BK53" s="399" t="s">
        <v>621</v>
      </c>
      <c r="BL53" s="399" t="s">
        <v>621</v>
      </c>
      <c r="BM53" s="399" t="s">
        <v>621</v>
      </c>
      <c r="BN53" s="399" t="s">
        <v>621</v>
      </c>
      <c r="BO53" s="399" t="s">
        <v>621</v>
      </c>
      <c r="BP53" s="399" t="s">
        <v>621</v>
      </c>
      <c r="BQ53" s="399">
        <f>BQ54</f>
        <v>36</v>
      </c>
      <c r="BR53" s="399" t="s">
        <v>621</v>
      </c>
      <c r="BS53" s="399" t="s">
        <v>621</v>
      </c>
      <c r="BT53" s="399" t="s">
        <v>621</v>
      </c>
      <c r="BU53" s="399" t="s">
        <v>621</v>
      </c>
      <c r="BV53" s="399" t="s">
        <v>621</v>
      </c>
      <c r="BW53" s="399">
        <f>BW54</f>
        <v>36</v>
      </c>
      <c r="BX53" s="421" t="s">
        <v>621</v>
      </c>
    </row>
    <row r="54" spans="1:76" s="416" customFormat="1" ht="105" x14ac:dyDescent="0.25">
      <c r="A54" s="386" t="s">
        <v>604</v>
      </c>
      <c r="B54" s="398" t="s">
        <v>707</v>
      </c>
      <c r="C54" s="399" t="s">
        <v>621</v>
      </c>
      <c r="D54" s="399" t="s">
        <v>621</v>
      </c>
      <c r="E54" s="399" t="s">
        <v>621</v>
      </c>
      <c r="F54" s="399" t="s">
        <v>621</v>
      </c>
      <c r="G54" s="399" t="s">
        <v>621</v>
      </c>
      <c r="H54" s="399" t="s">
        <v>621</v>
      </c>
      <c r="I54" s="399" t="s">
        <v>621</v>
      </c>
      <c r="J54" s="399" t="s">
        <v>621</v>
      </c>
      <c r="K54" s="399" t="s">
        <v>621</v>
      </c>
      <c r="L54" s="399" t="s">
        <v>621</v>
      </c>
      <c r="M54" s="399" t="s">
        <v>621</v>
      </c>
      <c r="N54" s="399" t="s">
        <v>621</v>
      </c>
      <c r="O54" s="399" t="s">
        <v>621</v>
      </c>
      <c r="P54" s="399" t="s">
        <v>621</v>
      </c>
      <c r="Q54" s="399">
        <f>SUM(Q55:Q56)</f>
        <v>1.6</v>
      </c>
      <c r="R54" s="399" t="s">
        <v>621</v>
      </c>
      <c r="S54" s="420" t="s">
        <v>621</v>
      </c>
      <c r="T54" s="399" t="s">
        <v>621</v>
      </c>
      <c r="U54" s="399">
        <f>U57</f>
        <v>28</v>
      </c>
      <c r="V54" s="399" t="s">
        <v>621</v>
      </c>
      <c r="W54" s="399">
        <f>SUM(W55:W56)</f>
        <v>1.6</v>
      </c>
      <c r="X54" s="399" t="s">
        <v>621</v>
      </c>
      <c r="Y54" s="399" t="s">
        <v>621</v>
      </c>
      <c r="Z54" s="399" t="s">
        <v>621</v>
      </c>
      <c r="AA54" s="399">
        <f>AA57</f>
        <v>28</v>
      </c>
      <c r="AB54" s="399"/>
      <c r="AC54" s="399">
        <f>AC58</f>
        <v>0.8</v>
      </c>
      <c r="AD54" s="399" t="s">
        <v>621</v>
      </c>
      <c r="AE54" s="399" t="s">
        <v>621</v>
      </c>
      <c r="AF54" s="399" t="s">
        <v>621</v>
      </c>
      <c r="AG54" s="399">
        <f>AG59</f>
        <v>15</v>
      </c>
      <c r="AH54" s="399" t="s">
        <v>621</v>
      </c>
      <c r="AI54" s="393" t="e">
        <f>AI58+AI72</f>
        <v>#VALUE!</v>
      </c>
      <c r="AJ54" s="399" t="s">
        <v>621</v>
      </c>
      <c r="AK54" s="399" t="s">
        <v>621</v>
      </c>
      <c r="AL54" s="399" t="s">
        <v>621</v>
      </c>
      <c r="AM54" s="393">
        <f>AM59</f>
        <v>18</v>
      </c>
      <c r="AN54" s="399" t="s">
        <v>621</v>
      </c>
      <c r="AO54" s="399">
        <f>SUM(AO60:AO61)</f>
        <v>2.06</v>
      </c>
      <c r="AP54" s="399" t="s">
        <v>621</v>
      </c>
      <c r="AQ54" s="399" t="s">
        <v>621</v>
      </c>
      <c r="AR54" s="399" t="s">
        <v>621</v>
      </c>
      <c r="AS54" s="399">
        <f>SUM(AS62:AS62)</f>
        <v>38</v>
      </c>
      <c r="AT54" s="399" t="s">
        <v>621</v>
      </c>
      <c r="AU54" s="399">
        <f>AU73</f>
        <v>1.26</v>
      </c>
      <c r="AV54" s="399" t="s">
        <v>621</v>
      </c>
      <c r="AW54" s="399" t="s">
        <v>621</v>
      </c>
      <c r="AX54" s="399" t="s">
        <v>621</v>
      </c>
      <c r="AY54" s="399">
        <f>AY62+AX72</f>
        <v>42</v>
      </c>
      <c r="AZ54" s="399" t="s">
        <v>621</v>
      </c>
      <c r="BA54" s="399">
        <f>SUM(BA63:BA69)</f>
        <v>6.87</v>
      </c>
      <c r="BB54" s="399" t="s">
        <v>621</v>
      </c>
      <c r="BC54" s="399" t="s">
        <v>621</v>
      </c>
      <c r="BD54" s="399" t="s">
        <v>621</v>
      </c>
      <c r="BE54" s="399" t="s">
        <v>621</v>
      </c>
      <c r="BF54" s="399" t="s">
        <v>621</v>
      </c>
      <c r="BG54" s="399">
        <f>SUM(BG63:BG69)</f>
        <v>6.87</v>
      </c>
      <c r="BH54" s="399" t="s">
        <v>621</v>
      </c>
      <c r="BI54" s="399" t="s">
        <v>621</v>
      </c>
      <c r="BJ54" s="399" t="s">
        <v>621</v>
      </c>
      <c r="BK54" s="399" t="s">
        <v>621</v>
      </c>
      <c r="BL54" s="399" t="s">
        <v>621</v>
      </c>
      <c r="BM54" s="399" t="s">
        <v>621</v>
      </c>
      <c r="BN54" s="399" t="s">
        <v>621</v>
      </c>
      <c r="BO54" s="399" t="s">
        <v>621</v>
      </c>
      <c r="BP54" s="399" t="s">
        <v>621</v>
      </c>
      <c r="BQ54" s="399">
        <f>BQ70+BQ71</f>
        <v>36</v>
      </c>
      <c r="BR54" s="399" t="s">
        <v>621</v>
      </c>
      <c r="BS54" s="399" t="s">
        <v>621</v>
      </c>
      <c r="BT54" s="399" t="s">
        <v>621</v>
      </c>
      <c r="BU54" s="399" t="s">
        <v>621</v>
      </c>
      <c r="BV54" s="399" t="s">
        <v>621</v>
      </c>
      <c r="BW54" s="399">
        <f>BW70+BW71</f>
        <v>36</v>
      </c>
      <c r="BX54" s="421" t="s">
        <v>621</v>
      </c>
    </row>
    <row r="55" spans="1:76" s="416" customFormat="1" ht="26.25" x14ac:dyDescent="0.25">
      <c r="A55" s="380" t="s">
        <v>885</v>
      </c>
      <c r="B55" s="400" t="s">
        <v>860</v>
      </c>
      <c r="C55" s="395" t="s">
        <v>1057</v>
      </c>
      <c r="D55" s="395" t="s">
        <v>621</v>
      </c>
      <c r="E55" s="395" t="s">
        <v>621</v>
      </c>
      <c r="F55" s="395" t="s">
        <v>621</v>
      </c>
      <c r="G55" s="395" t="s">
        <v>621</v>
      </c>
      <c r="H55" s="395" t="s">
        <v>621</v>
      </c>
      <c r="I55" s="395" t="s">
        <v>621</v>
      </c>
      <c r="J55" s="395" t="s">
        <v>621</v>
      </c>
      <c r="K55" s="395" t="s">
        <v>621</v>
      </c>
      <c r="L55" s="395" t="s">
        <v>621</v>
      </c>
      <c r="M55" s="395" t="s">
        <v>621</v>
      </c>
      <c r="N55" s="395" t="s">
        <v>621</v>
      </c>
      <c r="O55" s="395" t="s">
        <v>621</v>
      </c>
      <c r="P55" s="395" t="s">
        <v>825</v>
      </c>
      <c r="Q55" s="395">
        <f>'Ф1 2020'!J67</f>
        <v>0.8</v>
      </c>
      <c r="R55" s="395" t="s">
        <v>621</v>
      </c>
      <c r="S55" s="385" t="s">
        <v>621</v>
      </c>
      <c r="T55" s="395" t="s">
        <v>621</v>
      </c>
      <c r="U55" s="395" t="s">
        <v>621</v>
      </c>
      <c r="V55" s="395" t="s">
        <v>825</v>
      </c>
      <c r="W55" s="395">
        <v>0.8</v>
      </c>
      <c r="X55" s="395" t="s">
        <v>621</v>
      </c>
      <c r="Y55" s="395" t="s">
        <v>621</v>
      </c>
      <c r="Z55" s="395" t="s">
        <v>621</v>
      </c>
      <c r="AA55" s="395" t="s">
        <v>621</v>
      </c>
      <c r="AB55" s="395" t="s">
        <v>621</v>
      </c>
      <c r="AC55" s="395" t="s">
        <v>621</v>
      </c>
      <c r="AD55" s="395" t="s">
        <v>621</v>
      </c>
      <c r="AE55" s="395" t="s">
        <v>621</v>
      </c>
      <c r="AF55" s="395" t="s">
        <v>621</v>
      </c>
      <c r="AG55" s="395" t="s">
        <v>621</v>
      </c>
      <c r="AH55" s="395" t="s">
        <v>621</v>
      </c>
      <c r="AI55" s="395" t="s">
        <v>621</v>
      </c>
      <c r="AJ55" s="395" t="s">
        <v>621</v>
      </c>
      <c r="AK55" s="395" t="s">
        <v>621</v>
      </c>
      <c r="AL55" s="395" t="s">
        <v>621</v>
      </c>
      <c r="AM55" s="395" t="s">
        <v>621</v>
      </c>
      <c r="AN55" s="395" t="s">
        <v>621</v>
      </c>
      <c r="AO55" s="395" t="s">
        <v>621</v>
      </c>
      <c r="AP55" s="395" t="s">
        <v>621</v>
      </c>
      <c r="AQ55" s="395" t="s">
        <v>621</v>
      </c>
      <c r="AR55" s="395" t="s">
        <v>621</v>
      </c>
      <c r="AS55" s="395" t="s">
        <v>621</v>
      </c>
      <c r="AT55" s="395" t="s">
        <v>621</v>
      </c>
      <c r="AU55" s="395" t="s">
        <v>621</v>
      </c>
      <c r="AV55" s="395" t="s">
        <v>621</v>
      </c>
      <c r="AW55" s="395" t="s">
        <v>621</v>
      </c>
      <c r="AX55" s="395" t="s">
        <v>621</v>
      </c>
      <c r="AY55" s="395" t="s">
        <v>621</v>
      </c>
      <c r="AZ55" s="395" t="s">
        <v>621</v>
      </c>
      <c r="BA55" s="395" t="s">
        <v>621</v>
      </c>
      <c r="BB55" s="395" t="s">
        <v>621</v>
      </c>
      <c r="BC55" s="395" t="s">
        <v>621</v>
      </c>
      <c r="BD55" s="395" t="s">
        <v>621</v>
      </c>
      <c r="BE55" s="395" t="s">
        <v>621</v>
      </c>
      <c r="BF55" s="395" t="s">
        <v>621</v>
      </c>
      <c r="BG55" s="395" t="s">
        <v>621</v>
      </c>
      <c r="BH55" s="395" t="s">
        <v>621</v>
      </c>
      <c r="BI55" s="395" t="s">
        <v>621</v>
      </c>
      <c r="BJ55" s="395" t="s">
        <v>621</v>
      </c>
      <c r="BK55" s="395" t="s">
        <v>621</v>
      </c>
      <c r="BL55" s="395" t="s">
        <v>621</v>
      </c>
      <c r="BM55" s="395" t="s">
        <v>621</v>
      </c>
      <c r="BN55" s="395" t="s">
        <v>621</v>
      </c>
      <c r="BO55" s="395" t="s">
        <v>621</v>
      </c>
      <c r="BP55" s="395" t="s">
        <v>621</v>
      </c>
      <c r="BQ55" s="395" t="s">
        <v>621</v>
      </c>
      <c r="BR55" s="395" t="s">
        <v>621</v>
      </c>
      <c r="BS55" s="395" t="s">
        <v>621</v>
      </c>
      <c r="BT55" s="395" t="s">
        <v>621</v>
      </c>
      <c r="BU55" s="395" t="s">
        <v>621</v>
      </c>
      <c r="BV55" s="395" t="s">
        <v>621</v>
      </c>
      <c r="BW55" s="395" t="s">
        <v>621</v>
      </c>
      <c r="BX55" s="415" t="s">
        <v>621</v>
      </c>
    </row>
    <row r="56" spans="1:76" s="416" customFormat="1" ht="26.25" x14ac:dyDescent="0.25">
      <c r="A56" s="380" t="s">
        <v>886</v>
      </c>
      <c r="B56" s="400" t="s">
        <v>861</v>
      </c>
      <c r="C56" s="395" t="s">
        <v>1058</v>
      </c>
      <c r="D56" s="395" t="s">
        <v>621</v>
      </c>
      <c r="E56" s="395" t="s">
        <v>621</v>
      </c>
      <c r="F56" s="395" t="s">
        <v>621</v>
      </c>
      <c r="G56" s="395" t="s">
        <v>621</v>
      </c>
      <c r="H56" s="395" t="s">
        <v>621</v>
      </c>
      <c r="I56" s="395" t="s">
        <v>621</v>
      </c>
      <c r="J56" s="395" t="s">
        <v>621</v>
      </c>
      <c r="K56" s="395" t="s">
        <v>621</v>
      </c>
      <c r="L56" s="395" t="s">
        <v>621</v>
      </c>
      <c r="M56" s="395" t="s">
        <v>621</v>
      </c>
      <c r="N56" s="395" t="s">
        <v>621</v>
      </c>
      <c r="O56" s="395" t="s">
        <v>621</v>
      </c>
      <c r="P56" s="395" t="s">
        <v>825</v>
      </c>
      <c r="Q56" s="395">
        <f>'Ф1 2020'!J68</f>
        <v>0.8</v>
      </c>
      <c r="R56" s="395" t="s">
        <v>621</v>
      </c>
      <c r="S56" s="385" t="s">
        <v>621</v>
      </c>
      <c r="T56" s="395" t="s">
        <v>621</v>
      </c>
      <c r="U56" s="395" t="s">
        <v>621</v>
      </c>
      <c r="V56" s="395" t="s">
        <v>825</v>
      </c>
      <c r="W56" s="395">
        <v>0.8</v>
      </c>
      <c r="X56" s="395" t="s">
        <v>621</v>
      </c>
      <c r="Y56" s="395" t="s">
        <v>621</v>
      </c>
      <c r="Z56" s="395" t="s">
        <v>621</v>
      </c>
      <c r="AA56" s="395" t="s">
        <v>621</v>
      </c>
      <c r="AB56" s="395" t="s">
        <v>621</v>
      </c>
      <c r="AC56" s="395" t="s">
        <v>621</v>
      </c>
      <c r="AD56" s="395" t="s">
        <v>621</v>
      </c>
      <c r="AE56" s="395" t="s">
        <v>621</v>
      </c>
      <c r="AF56" s="395" t="s">
        <v>621</v>
      </c>
      <c r="AG56" s="395" t="s">
        <v>621</v>
      </c>
      <c r="AH56" s="395" t="s">
        <v>621</v>
      </c>
      <c r="AI56" s="395" t="s">
        <v>621</v>
      </c>
      <c r="AJ56" s="395" t="s">
        <v>621</v>
      </c>
      <c r="AK56" s="395" t="s">
        <v>621</v>
      </c>
      <c r="AL56" s="395" t="s">
        <v>621</v>
      </c>
      <c r="AM56" s="395" t="s">
        <v>621</v>
      </c>
      <c r="AN56" s="395" t="s">
        <v>621</v>
      </c>
      <c r="AO56" s="395" t="s">
        <v>621</v>
      </c>
      <c r="AP56" s="395" t="s">
        <v>621</v>
      </c>
      <c r="AQ56" s="395" t="s">
        <v>621</v>
      </c>
      <c r="AR56" s="395" t="s">
        <v>621</v>
      </c>
      <c r="AS56" s="395" t="s">
        <v>621</v>
      </c>
      <c r="AT56" s="395" t="s">
        <v>621</v>
      </c>
      <c r="AU56" s="395" t="s">
        <v>621</v>
      </c>
      <c r="AV56" s="395" t="s">
        <v>621</v>
      </c>
      <c r="AW56" s="395" t="s">
        <v>621</v>
      </c>
      <c r="AX56" s="395" t="s">
        <v>621</v>
      </c>
      <c r="AY56" s="395" t="s">
        <v>621</v>
      </c>
      <c r="AZ56" s="395" t="s">
        <v>621</v>
      </c>
      <c r="BA56" s="395" t="s">
        <v>621</v>
      </c>
      <c r="BB56" s="395" t="s">
        <v>621</v>
      </c>
      <c r="BC56" s="395" t="s">
        <v>621</v>
      </c>
      <c r="BD56" s="395" t="s">
        <v>621</v>
      </c>
      <c r="BE56" s="395" t="s">
        <v>621</v>
      </c>
      <c r="BF56" s="395" t="s">
        <v>621</v>
      </c>
      <c r="BG56" s="395" t="s">
        <v>621</v>
      </c>
      <c r="BH56" s="395" t="s">
        <v>621</v>
      </c>
      <c r="BI56" s="395" t="s">
        <v>621</v>
      </c>
      <c r="BJ56" s="395" t="s">
        <v>621</v>
      </c>
      <c r="BK56" s="395" t="s">
        <v>621</v>
      </c>
      <c r="BL56" s="395" t="s">
        <v>621</v>
      </c>
      <c r="BM56" s="395" t="s">
        <v>621</v>
      </c>
      <c r="BN56" s="395" t="s">
        <v>621</v>
      </c>
      <c r="BO56" s="395" t="s">
        <v>621</v>
      </c>
      <c r="BP56" s="395" t="s">
        <v>621</v>
      </c>
      <c r="BQ56" s="395" t="s">
        <v>621</v>
      </c>
      <c r="BR56" s="395" t="s">
        <v>621</v>
      </c>
      <c r="BS56" s="395" t="s">
        <v>621</v>
      </c>
      <c r="BT56" s="395" t="s">
        <v>621</v>
      </c>
      <c r="BU56" s="395" t="s">
        <v>621</v>
      </c>
      <c r="BV56" s="395" t="s">
        <v>621</v>
      </c>
      <c r="BW56" s="395" t="s">
        <v>621</v>
      </c>
      <c r="BX56" s="415" t="s">
        <v>621</v>
      </c>
    </row>
    <row r="57" spans="1:76" s="416" customFormat="1" ht="52.5" x14ac:dyDescent="0.25">
      <c r="A57" s="380" t="s">
        <v>887</v>
      </c>
      <c r="B57" s="400" t="s">
        <v>862</v>
      </c>
      <c r="C57" s="395" t="s">
        <v>1059</v>
      </c>
      <c r="D57" s="395" t="s">
        <v>621</v>
      </c>
      <c r="E57" s="395" t="s">
        <v>621</v>
      </c>
      <c r="F57" s="395" t="s">
        <v>621</v>
      </c>
      <c r="G57" s="395" t="s">
        <v>621</v>
      </c>
      <c r="H57" s="395" t="s">
        <v>621</v>
      </c>
      <c r="I57" s="395" t="s">
        <v>621</v>
      </c>
      <c r="J57" s="395" t="s">
        <v>621</v>
      </c>
      <c r="K57" s="395" t="s">
        <v>621</v>
      </c>
      <c r="L57" s="395" t="s">
        <v>621</v>
      </c>
      <c r="M57" s="395" t="s">
        <v>621</v>
      </c>
      <c r="N57" s="395" t="s">
        <v>621</v>
      </c>
      <c r="O57" s="395" t="s">
        <v>621</v>
      </c>
      <c r="P57" s="395" t="s">
        <v>825</v>
      </c>
      <c r="Q57" s="395" t="s">
        <v>621</v>
      </c>
      <c r="R57" s="395" t="s">
        <v>621</v>
      </c>
      <c r="S57" s="385" t="s">
        <v>621</v>
      </c>
      <c r="T57" s="395" t="s">
        <v>621</v>
      </c>
      <c r="U57" s="395">
        <f>'Ф1 2020'!L69</f>
        <v>28</v>
      </c>
      <c r="V57" s="395" t="s">
        <v>825</v>
      </c>
      <c r="W57" s="395" t="s">
        <v>621</v>
      </c>
      <c r="X57" s="395" t="s">
        <v>621</v>
      </c>
      <c r="Y57" s="395" t="s">
        <v>621</v>
      </c>
      <c r="Z57" s="395" t="s">
        <v>621</v>
      </c>
      <c r="AA57" s="395">
        <v>28</v>
      </c>
      <c r="AB57" s="395" t="s">
        <v>621</v>
      </c>
      <c r="AC57" s="395" t="s">
        <v>621</v>
      </c>
      <c r="AD57" s="395" t="s">
        <v>621</v>
      </c>
      <c r="AE57" s="395" t="s">
        <v>621</v>
      </c>
      <c r="AF57" s="395" t="s">
        <v>621</v>
      </c>
      <c r="AG57" s="395" t="s">
        <v>621</v>
      </c>
      <c r="AH57" s="395" t="s">
        <v>621</v>
      </c>
      <c r="AI57" s="395" t="s">
        <v>621</v>
      </c>
      <c r="AJ57" s="395" t="s">
        <v>621</v>
      </c>
      <c r="AK57" s="395" t="s">
        <v>621</v>
      </c>
      <c r="AL57" s="395" t="s">
        <v>621</v>
      </c>
      <c r="AM57" s="395" t="s">
        <v>621</v>
      </c>
      <c r="AN57" s="395" t="s">
        <v>621</v>
      </c>
      <c r="AO57" s="395" t="s">
        <v>621</v>
      </c>
      <c r="AP57" s="395" t="s">
        <v>621</v>
      </c>
      <c r="AQ57" s="395" t="s">
        <v>621</v>
      </c>
      <c r="AR57" s="395" t="s">
        <v>621</v>
      </c>
      <c r="AS57" s="395" t="s">
        <v>621</v>
      </c>
      <c r="AT57" s="395" t="s">
        <v>621</v>
      </c>
      <c r="AU57" s="395" t="s">
        <v>621</v>
      </c>
      <c r="AV57" s="395" t="s">
        <v>621</v>
      </c>
      <c r="AW57" s="395" t="s">
        <v>621</v>
      </c>
      <c r="AX57" s="395" t="s">
        <v>621</v>
      </c>
      <c r="AY57" s="395" t="s">
        <v>621</v>
      </c>
      <c r="AZ57" s="395" t="s">
        <v>621</v>
      </c>
      <c r="BA57" s="395" t="s">
        <v>621</v>
      </c>
      <c r="BB57" s="395" t="s">
        <v>621</v>
      </c>
      <c r="BC57" s="395" t="s">
        <v>621</v>
      </c>
      <c r="BD57" s="395" t="s">
        <v>621</v>
      </c>
      <c r="BE57" s="395" t="s">
        <v>621</v>
      </c>
      <c r="BF57" s="395" t="s">
        <v>621</v>
      </c>
      <c r="BG57" s="395" t="s">
        <v>621</v>
      </c>
      <c r="BH57" s="395" t="s">
        <v>621</v>
      </c>
      <c r="BI57" s="395" t="s">
        <v>621</v>
      </c>
      <c r="BJ57" s="395" t="s">
        <v>621</v>
      </c>
      <c r="BK57" s="395" t="s">
        <v>621</v>
      </c>
      <c r="BL57" s="395" t="s">
        <v>621</v>
      </c>
      <c r="BM57" s="395" t="s">
        <v>621</v>
      </c>
      <c r="BN57" s="395" t="s">
        <v>621</v>
      </c>
      <c r="BO57" s="395" t="s">
        <v>621</v>
      </c>
      <c r="BP57" s="395" t="s">
        <v>621</v>
      </c>
      <c r="BQ57" s="395" t="s">
        <v>621</v>
      </c>
      <c r="BR57" s="395" t="s">
        <v>621</v>
      </c>
      <c r="BS57" s="395" t="s">
        <v>621</v>
      </c>
      <c r="BT57" s="395" t="s">
        <v>621</v>
      </c>
      <c r="BU57" s="395" t="s">
        <v>621</v>
      </c>
      <c r="BV57" s="395" t="s">
        <v>621</v>
      </c>
      <c r="BW57" s="395" t="s">
        <v>621</v>
      </c>
      <c r="BX57" s="415" t="s">
        <v>621</v>
      </c>
    </row>
    <row r="58" spans="1:76" s="416" customFormat="1" ht="26.25" x14ac:dyDescent="0.25">
      <c r="A58" s="380" t="s">
        <v>888</v>
      </c>
      <c r="B58" s="400" t="s">
        <v>866</v>
      </c>
      <c r="C58" s="395" t="s">
        <v>1060</v>
      </c>
      <c r="D58" s="395" t="s">
        <v>621</v>
      </c>
      <c r="E58" s="395" t="s">
        <v>621</v>
      </c>
      <c r="F58" s="395" t="s">
        <v>621</v>
      </c>
      <c r="G58" s="395" t="s">
        <v>621</v>
      </c>
      <c r="H58" s="395" t="s">
        <v>621</v>
      </c>
      <c r="I58" s="395" t="s">
        <v>621</v>
      </c>
      <c r="J58" s="395" t="s">
        <v>621</v>
      </c>
      <c r="K58" s="395" t="s">
        <v>621</v>
      </c>
      <c r="L58" s="395" t="s">
        <v>621</v>
      </c>
      <c r="M58" s="395" t="s">
        <v>621</v>
      </c>
      <c r="N58" s="395" t="s">
        <v>621</v>
      </c>
      <c r="O58" s="395" t="s">
        <v>621</v>
      </c>
      <c r="P58" s="395" t="s">
        <v>621</v>
      </c>
      <c r="Q58" s="395" t="s">
        <v>621</v>
      </c>
      <c r="R58" s="395" t="s">
        <v>621</v>
      </c>
      <c r="S58" s="385" t="s">
        <v>621</v>
      </c>
      <c r="T58" s="395" t="s">
        <v>621</v>
      </c>
      <c r="U58" s="395" t="s">
        <v>621</v>
      </c>
      <c r="V58" s="395" t="s">
        <v>621</v>
      </c>
      <c r="W58" s="395" t="s">
        <v>621</v>
      </c>
      <c r="X58" s="395" t="s">
        <v>621</v>
      </c>
      <c r="Y58" s="395" t="s">
        <v>621</v>
      </c>
      <c r="Z58" s="395" t="s">
        <v>621</v>
      </c>
      <c r="AA58" s="395" t="s">
        <v>621</v>
      </c>
      <c r="AB58" s="395" t="s">
        <v>825</v>
      </c>
      <c r="AC58" s="395">
        <f>'Ф1 2021'!J80</f>
        <v>0.8</v>
      </c>
      <c r="AD58" s="395" t="s">
        <v>621</v>
      </c>
      <c r="AE58" s="395" t="s">
        <v>621</v>
      </c>
      <c r="AF58" s="395" t="s">
        <v>621</v>
      </c>
      <c r="AG58" s="395" t="s">
        <v>621</v>
      </c>
      <c r="AH58" s="931" t="s">
        <v>825</v>
      </c>
      <c r="AI58" s="931">
        <v>0.8</v>
      </c>
      <c r="AJ58" s="395" t="s">
        <v>621</v>
      </c>
      <c r="AK58" s="395" t="s">
        <v>621</v>
      </c>
      <c r="AL58" s="395" t="s">
        <v>621</v>
      </c>
      <c r="AM58" s="395" t="s">
        <v>621</v>
      </c>
      <c r="AN58" s="395" t="s">
        <v>621</v>
      </c>
      <c r="AO58" s="395" t="s">
        <v>621</v>
      </c>
      <c r="AP58" s="395" t="s">
        <v>621</v>
      </c>
      <c r="AQ58" s="395" t="s">
        <v>621</v>
      </c>
      <c r="AR58" s="395" t="s">
        <v>621</v>
      </c>
      <c r="AS58" s="395" t="s">
        <v>621</v>
      </c>
      <c r="AT58" s="395" t="s">
        <v>621</v>
      </c>
      <c r="AU58" s="395" t="s">
        <v>621</v>
      </c>
      <c r="AV58" s="395" t="s">
        <v>621</v>
      </c>
      <c r="AW58" s="395" t="s">
        <v>621</v>
      </c>
      <c r="AX58" s="395" t="s">
        <v>621</v>
      </c>
      <c r="AY58" s="395" t="s">
        <v>621</v>
      </c>
      <c r="AZ58" s="395" t="s">
        <v>621</v>
      </c>
      <c r="BA58" s="395" t="s">
        <v>621</v>
      </c>
      <c r="BB58" s="395" t="s">
        <v>621</v>
      </c>
      <c r="BC58" s="395" t="s">
        <v>621</v>
      </c>
      <c r="BD58" s="395" t="s">
        <v>621</v>
      </c>
      <c r="BE58" s="395" t="s">
        <v>621</v>
      </c>
      <c r="BF58" s="395" t="s">
        <v>621</v>
      </c>
      <c r="BG58" s="395" t="s">
        <v>621</v>
      </c>
      <c r="BH58" s="395" t="s">
        <v>621</v>
      </c>
      <c r="BI58" s="395" t="s">
        <v>621</v>
      </c>
      <c r="BJ58" s="395" t="s">
        <v>621</v>
      </c>
      <c r="BK58" s="395" t="s">
        <v>621</v>
      </c>
      <c r="BL58" s="395" t="s">
        <v>621</v>
      </c>
      <c r="BM58" s="395" t="s">
        <v>621</v>
      </c>
      <c r="BN58" s="395" t="s">
        <v>621</v>
      </c>
      <c r="BO58" s="395" t="s">
        <v>621</v>
      </c>
      <c r="BP58" s="395" t="s">
        <v>621</v>
      </c>
      <c r="BQ58" s="395" t="s">
        <v>621</v>
      </c>
      <c r="BR58" s="395" t="s">
        <v>621</v>
      </c>
      <c r="BS58" s="395" t="s">
        <v>621</v>
      </c>
      <c r="BT58" s="395" t="s">
        <v>621</v>
      </c>
      <c r="BU58" s="395" t="s">
        <v>621</v>
      </c>
      <c r="BV58" s="395" t="s">
        <v>621</v>
      </c>
      <c r="BW58" s="395" t="s">
        <v>621</v>
      </c>
      <c r="BX58" s="415" t="s">
        <v>621</v>
      </c>
    </row>
    <row r="59" spans="1:76" s="416" customFormat="1" ht="105" x14ac:dyDescent="0.25">
      <c r="A59" s="380" t="s">
        <v>889</v>
      </c>
      <c r="B59" s="400" t="s">
        <v>916</v>
      </c>
      <c r="C59" s="395" t="s">
        <v>1061</v>
      </c>
      <c r="D59" s="395" t="s">
        <v>621</v>
      </c>
      <c r="E59" s="395" t="s">
        <v>621</v>
      </c>
      <c r="F59" s="395" t="s">
        <v>621</v>
      </c>
      <c r="G59" s="395" t="s">
        <v>621</v>
      </c>
      <c r="H59" s="395" t="s">
        <v>621</v>
      </c>
      <c r="I59" s="395" t="s">
        <v>621</v>
      </c>
      <c r="J59" s="395" t="s">
        <v>621</v>
      </c>
      <c r="K59" s="395" t="s">
        <v>621</v>
      </c>
      <c r="L59" s="395" t="s">
        <v>621</v>
      </c>
      <c r="M59" s="395" t="s">
        <v>621</v>
      </c>
      <c r="N59" s="395" t="s">
        <v>621</v>
      </c>
      <c r="O59" s="395" t="s">
        <v>621</v>
      </c>
      <c r="P59" s="395" t="s">
        <v>621</v>
      </c>
      <c r="Q59" s="395" t="s">
        <v>621</v>
      </c>
      <c r="R59" s="395" t="s">
        <v>621</v>
      </c>
      <c r="S59" s="385" t="s">
        <v>621</v>
      </c>
      <c r="T59" s="395" t="s">
        <v>621</v>
      </c>
      <c r="U59" s="395" t="s">
        <v>621</v>
      </c>
      <c r="V59" s="395" t="s">
        <v>621</v>
      </c>
      <c r="W59" s="395" t="s">
        <v>621</v>
      </c>
      <c r="X59" s="395" t="s">
        <v>621</v>
      </c>
      <c r="Y59" s="395" t="s">
        <v>621</v>
      </c>
      <c r="Z59" s="395" t="s">
        <v>621</v>
      </c>
      <c r="AA59" s="395" t="s">
        <v>621</v>
      </c>
      <c r="AB59" s="395" t="s">
        <v>825</v>
      </c>
      <c r="AC59" s="395" t="s">
        <v>621</v>
      </c>
      <c r="AD59" s="395" t="s">
        <v>621</v>
      </c>
      <c r="AE59" s="395" t="s">
        <v>621</v>
      </c>
      <c r="AF59" s="395" t="s">
        <v>621</v>
      </c>
      <c r="AG59" s="395">
        <v>15</v>
      </c>
      <c r="AH59" s="931" t="s">
        <v>825</v>
      </c>
      <c r="AI59" s="395" t="s">
        <v>621</v>
      </c>
      <c r="AJ59" s="395" t="s">
        <v>621</v>
      </c>
      <c r="AK59" s="395" t="s">
        <v>621</v>
      </c>
      <c r="AL59" s="395" t="s">
        <v>621</v>
      </c>
      <c r="AM59" s="931">
        <v>18</v>
      </c>
      <c r="AN59" s="395" t="s">
        <v>621</v>
      </c>
      <c r="AO59" s="395" t="s">
        <v>621</v>
      </c>
      <c r="AP59" s="395" t="s">
        <v>621</v>
      </c>
      <c r="AQ59" s="395" t="s">
        <v>621</v>
      </c>
      <c r="AR59" s="395" t="s">
        <v>621</v>
      </c>
      <c r="AS59" s="395" t="s">
        <v>621</v>
      </c>
      <c r="AT59" s="395" t="s">
        <v>621</v>
      </c>
      <c r="AU59" s="395" t="s">
        <v>621</v>
      </c>
      <c r="AV59" s="395" t="s">
        <v>621</v>
      </c>
      <c r="AW59" s="395" t="s">
        <v>621</v>
      </c>
      <c r="AX59" s="395" t="s">
        <v>621</v>
      </c>
      <c r="AY59" s="395" t="s">
        <v>621</v>
      </c>
      <c r="AZ59" s="395" t="s">
        <v>621</v>
      </c>
      <c r="BA59" s="395" t="s">
        <v>621</v>
      </c>
      <c r="BB59" s="395" t="s">
        <v>621</v>
      </c>
      <c r="BC59" s="395" t="s">
        <v>621</v>
      </c>
      <c r="BD59" s="395" t="s">
        <v>621</v>
      </c>
      <c r="BE59" s="395" t="s">
        <v>621</v>
      </c>
      <c r="BF59" s="395" t="s">
        <v>621</v>
      </c>
      <c r="BG59" s="395" t="s">
        <v>621</v>
      </c>
      <c r="BH59" s="395" t="s">
        <v>621</v>
      </c>
      <c r="BI59" s="395" t="s">
        <v>621</v>
      </c>
      <c r="BJ59" s="395" t="s">
        <v>621</v>
      </c>
      <c r="BK59" s="395" t="s">
        <v>621</v>
      </c>
      <c r="BL59" s="395" t="s">
        <v>621</v>
      </c>
      <c r="BM59" s="395" t="s">
        <v>621</v>
      </c>
      <c r="BN59" s="395" t="s">
        <v>621</v>
      </c>
      <c r="BO59" s="395" t="s">
        <v>621</v>
      </c>
      <c r="BP59" s="395" t="s">
        <v>621</v>
      </c>
      <c r="BQ59" s="395" t="s">
        <v>621</v>
      </c>
      <c r="BR59" s="395" t="s">
        <v>621</v>
      </c>
      <c r="BS59" s="395" t="s">
        <v>621</v>
      </c>
      <c r="BT59" s="395" t="s">
        <v>621</v>
      </c>
      <c r="BU59" s="395" t="s">
        <v>621</v>
      </c>
      <c r="BV59" s="395" t="s">
        <v>621</v>
      </c>
      <c r="BW59" s="395" t="s">
        <v>621</v>
      </c>
      <c r="BX59" s="415" t="s">
        <v>621</v>
      </c>
    </row>
    <row r="60" spans="1:76" s="416" customFormat="1" ht="26.25" x14ac:dyDescent="0.25">
      <c r="A60" s="380" t="s">
        <v>890</v>
      </c>
      <c r="B60" s="400" t="s">
        <v>871</v>
      </c>
      <c r="C60" s="395" t="s">
        <v>1062</v>
      </c>
      <c r="D60" s="395" t="s">
        <v>621</v>
      </c>
      <c r="E60" s="395" t="s">
        <v>621</v>
      </c>
      <c r="F60" s="395" t="s">
        <v>621</v>
      </c>
      <c r="G60" s="395" t="s">
        <v>621</v>
      </c>
      <c r="H60" s="395" t="s">
        <v>621</v>
      </c>
      <c r="I60" s="395" t="s">
        <v>621</v>
      </c>
      <c r="J60" s="395" t="s">
        <v>621</v>
      </c>
      <c r="K60" s="395" t="s">
        <v>621</v>
      </c>
      <c r="L60" s="395" t="s">
        <v>621</v>
      </c>
      <c r="M60" s="395" t="s">
        <v>621</v>
      </c>
      <c r="N60" s="395" t="s">
        <v>621</v>
      </c>
      <c r="O60" s="395" t="s">
        <v>621</v>
      </c>
      <c r="P60" s="395" t="s">
        <v>621</v>
      </c>
      <c r="Q60" s="395" t="s">
        <v>621</v>
      </c>
      <c r="R60" s="395" t="s">
        <v>621</v>
      </c>
      <c r="S60" s="385" t="s">
        <v>621</v>
      </c>
      <c r="T60" s="395" t="s">
        <v>621</v>
      </c>
      <c r="U60" s="395" t="s">
        <v>621</v>
      </c>
      <c r="V60" s="395" t="s">
        <v>621</v>
      </c>
      <c r="W60" s="395" t="s">
        <v>621</v>
      </c>
      <c r="X60" s="395" t="s">
        <v>621</v>
      </c>
      <c r="Y60" s="395" t="s">
        <v>621</v>
      </c>
      <c r="Z60" s="395" t="s">
        <v>621</v>
      </c>
      <c r="AA60" s="395" t="s">
        <v>621</v>
      </c>
      <c r="AB60" s="395" t="s">
        <v>621</v>
      </c>
      <c r="AC60" s="395" t="s">
        <v>621</v>
      </c>
      <c r="AD60" s="395" t="s">
        <v>621</v>
      </c>
      <c r="AE60" s="395" t="s">
        <v>621</v>
      </c>
      <c r="AF60" s="395" t="s">
        <v>621</v>
      </c>
      <c r="AG60" s="395" t="s">
        <v>621</v>
      </c>
      <c r="AH60" s="395" t="s">
        <v>621</v>
      </c>
      <c r="AI60" s="395" t="s">
        <v>621</v>
      </c>
      <c r="AJ60" s="395" t="s">
        <v>621</v>
      </c>
      <c r="AK60" s="395" t="s">
        <v>621</v>
      </c>
      <c r="AL60" s="395" t="s">
        <v>621</v>
      </c>
      <c r="AM60" s="395" t="s">
        <v>621</v>
      </c>
      <c r="AN60" s="395" t="s">
        <v>825</v>
      </c>
      <c r="AO60" s="395">
        <f>'Ф1 2022'!J67</f>
        <v>0.8</v>
      </c>
      <c r="AP60" s="395" t="s">
        <v>621</v>
      </c>
      <c r="AQ60" s="395" t="s">
        <v>621</v>
      </c>
      <c r="AR60" s="395" t="s">
        <v>621</v>
      </c>
      <c r="AS60" s="395" t="s">
        <v>621</v>
      </c>
      <c r="AT60" s="395">
        <v>0</v>
      </c>
      <c r="AU60" s="395">
        <v>0</v>
      </c>
      <c r="AV60" s="395" t="s">
        <v>621</v>
      </c>
      <c r="AW60" s="395" t="s">
        <v>621</v>
      </c>
      <c r="AX60" s="395" t="s">
        <v>621</v>
      </c>
      <c r="AY60" s="395" t="s">
        <v>621</v>
      </c>
      <c r="AZ60" s="395" t="s">
        <v>621</v>
      </c>
      <c r="BA60" s="395" t="s">
        <v>621</v>
      </c>
      <c r="BB60" s="395" t="s">
        <v>621</v>
      </c>
      <c r="BC60" s="395" t="s">
        <v>621</v>
      </c>
      <c r="BD60" s="395" t="s">
        <v>621</v>
      </c>
      <c r="BE60" s="395" t="s">
        <v>621</v>
      </c>
      <c r="BF60" s="395" t="s">
        <v>621</v>
      </c>
      <c r="BG60" s="395" t="s">
        <v>621</v>
      </c>
      <c r="BH60" s="395" t="s">
        <v>621</v>
      </c>
      <c r="BI60" s="395" t="s">
        <v>621</v>
      </c>
      <c r="BJ60" s="395" t="s">
        <v>621</v>
      </c>
      <c r="BK60" s="395" t="s">
        <v>621</v>
      </c>
      <c r="BL60" s="395" t="s">
        <v>621</v>
      </c>
      <c r="BM60" s="395" t="s">
        <v>621</v>
      </c>
      <c r="BN60" s="395" t="s">
        <v>621</v>
      </c>
      <c r="BO60" s="395" t="s">
        <v>621</v>
      </c>
      <c r="BP60" s="395" t="s">
        <v>621</v>
      </c>
      <c r="BQ60" s="395" t="s">
        <v>621</v>
      </c>
      <c r="BR60" s="395" t="s">
        <v>621</v>
      </c>
      <c r="BS60" s="395" t="s">
        <v>621</v>
      </c>
      <c r="BT60" s="395" t="s">
        <v>621</v>
      </c>
      <c r="BU60" s="395" t="s">
        <v>621</v>
      </c>
      <c r="BV60" s="395" t="s">
        <v>621</v>
      </c>
      <c r="BW60" s="395" t="s">
        <v>621</v>
      </c>
      <c r="BX60" s="415" t="s">
        <v>621</v>
      </c>
    </row>
    <row r="61" spans="1:76" s="416" customFormat="1" ht="26.25" x14ac:dyDescent="0.25">
      <c r="A61" s="380" t="s">
        <v>891</v>
      </c>
      <c r="B61" s="400" t="s">
        <v>872</v>
      </c>
      <c r="C61" s="395" t="s">
        <v>1063</v>
      </c>
      <c r="D61" s="395" t="s">
        <v>621</v>
      </c>
      <c r="E61" s="395" t="s">
        <v>621</v>
      </c>
      <c r="F61" s="395" t="s">
        <v>621</v>
      </c>
      <c r="G61" s="395" t="s">
        <v>621</v>
      </c>
      <c r="H61" s="395" t="s">
        <v>621</v>
      </c>
      <c r="I61" s="395" t="s">
        <v>621</v>
      </c>
      <c r="J61" s="395" t="s">
        <v>621</v>
      </c>
      <c r="K61" s="395" t="s">
        <v>621</v>
      </c>
      <c r="L61" s="395" t="s">
        <v>621</v>
      </c>
      <c r="M61" s="395" t="s">
        <v>621</v>
      </c>
      <c r="N61" s="395" t="s">
        <v>621</v>
      </c>
      <c r="O61" s="395" t="s">
        <v>621</v>
      </c>
      <c r="P61" s="395" t="s">
        <v>621</v>
      </c>
      <c r="Q61" s="395" t="s">
        <v>621</v>
      </c>
      <c r="R61" s="395" t="s">
        <v>621</v>
      </c>
      <c r="S61" s="385" t="s">
        <v>621</v>
      </c>
      <c r="T61" s="395" t="s">
        <v>621</v>
      </c>
      <c r="U61" s="395" t="s">
        <v>621</v>
      </c>
      <c r="V61" s="395" t="s">
        <v>621</v>
      </c>
      <c r="W61" s="395" t="s">
        <v>621</v>
      </c>
      <c r="X61" s="395" t="s">
        <v>621</v>
      </c>
      <c r="Y61" s="395" t="s">
        <v>621</v>
      </c>
      <c r="Z61" s="395" t="s">
        <v>621</v>
      </c>
      <c r="AA61" s="395" t="s">
        <v>621</v>
      </c>
      <c r="AB61" s="395" t="s">
        <v>621</v>
      </c>
      <c r="AC61" s="395" t="s">
        <v>621</v>
      </c>
      <c r="AD61" s="395" t="s">
        <v>621</v>
      </c>
      <c r="AE61" s="395" t="s">
        <v>621</v>
      </c>
      <c r="AF61" s="395" t="s">
        <v>621</v>
      </c>
      <c r="AG61" s="395" t="s">
        <v>621</v>
      </c>
      <c r="AH61" s="395" t="s">
        <v>621</v>
      </c>
      <c r="AI61" s="395" t="s">
        <v>621</v>
      </c>
      <c r="AJ61" s="395" t="s">
        <v>621</v>
      </c>
      <c r="AK61" s="395" t="s">
        <v>621</v>
      </c>
      <c r="AL61" s="395" t="s">
        <v>621</v>
      </c>
      <c r="AM61" s="395" t="s">
        <v>621</v>
      </c>
      <c r="AN61" s="395" t="s">
        <v>825</v>
      </c>
      <c r="AO61" s="395">
        <f>'Ф1 2022'!J68</f>
        <v>1.26</v>
      </c>
      <c r="AP61" s="395" t="s">
        <v>621</v>
      </c>
      <c r="AQ61" s="395" t="s">
        <v>621</v>
      </c>
      <c r="AR61" s="395" t="s">
        <v>621</v>
      </c>
      <c r="AS61" s="395" t="s">
        <v>621</v>
      </c>
      <c r="AT61" s="395">
        <v>0</v>
      </c>
      <c r="AU61" s="395">
        <v>0</v>
      </c>
      <c r="AV61" s="395" t="s">
        <v>621</v>
      </c>
      <c r="AW61" s="395" t="s">
        <v>621</v>
      </c>
      <c r="AX61" s="395" t="s">
        <v>621</v>
      </c>
      <c r="AY61" s="395" t="s">
        <v>621</v>
      </c>
      <c r="AZ61" s="395" t="s">
        <v>621</v>
      </c>
      <c r="BA61" s="395" t="s">
        <v>621</v>
      </c>
      <c r="BB61" s="395" t="s">
        <v>621</v>
      </c>
      <c r="BC61" s="395" t="s">
        <v>621</v>
      </c>
      <c r="BD61" s="395" t="s">
        <v>621</v>
      </c>
      <c r="BE61" s="395" t="s">
        <v>621</v>
      </c>
      <c r="BF61" s="395" t="s">
        <v>621</v>
      </c>
      <c r="BG61" s="395" t="s">
        <v>621</v>
      </c>
      <c r="BH61" s="395" t="s">
        <v>621</v>
      </c>
      <c r="BI61" s="395" t="s">
        <v>621</v>
      </c>
      <c r="BJ61" s="395" t="s">
        <v>621</v>
      </c>
      <c r="BK61" s="395" t="s">
        <v>621</v>
      </c>
      <c r="BL61" s="395" t="s">
        <v>621</v>
      </c>
      <c r="BM61" s="395" t="s">
        <v>621</v>
      </c>
      <c r="BN61" s="395" t="s">
        <v>621</v>
      </c>
      <c r="BO61" s="395" t="s">
        <v>621</v>
      </c>
      <c r="BP61" s="395" t="s">
        <v>621</v>
      </c>
      <c r="BQ61" s="395" t="s">
        <v>621</v>
      </c>
      <c r="BR61" s="395" t="s">
        <v>621</v>
      </c>
      <c r="BS61" s="395" t="s">
        <v>621</v>
      </c>
      <c r="BT61" s="395" t="s">
        <v>621</v>
      </c>
      <c r="BU61" s="395" t="s">
        <v>621</v>
      </c>
      <c r="BV61" s="395" t="s">
        <v>621</v>
      </c>
      <c r="BW61" s="395" t="s">
        <v>621</v>
      </c>
      <c r="BX61" s="415" t="s">
        <v>621</v>
      </c>
    </row>
    <row r="62" spans="1:76" s="416" customFormat="1" ht="52.5" x14ac:dyDescent="0.25">
      <c r="A62" s="380" t="s">
        <v>892</v>
      </c>
      <c r="B62" s="400" t="s">
        <v>873</v>
      </c>
      <c r="C62" s="395" t="s">
        <v>1064</v>
      </c>
      <c r="D62" s="395" t="s">
        <v>621</v>
      </c>
      <c r="E62" s="395" t="s">
        <v>621</v>
      </c>
      <c r="F62" s="395" t="s">
        <v>621</v>
      </c>
      <c r="G62" s="395" t="s">
        <v>621</v>
      </c>
      <c r="H62" s="395" t="s">
        <v>621</v>
      </c>
      <c r="I62" s="395" t="s">
        <v>621</v>
      </c>
      <c r="J62" s="395" t="s">
        <v>621</v>
      </c>
      <c r="K62" s="395" t="s">
        <v>621</v>
      </c>
      <c r="L62" s="395" t="s">
        <v>621</v>
      </c>
      <c r="M62" s="395" t="s">
        <v>621</v>
      </c>
      <c r="N62" s="395" t="s">
        <v>621</v>
      </c>
      <c r="O62" s="395" t="s">
        <v>621</v>
      </c>
      <c r="P62" s="395" t="s">
        <v>621</v>
      </c>
      <c r="Q62" s="395" t="s">
        <v>621</v>
      </c>
      <c r="R62" s="395" t="s">
        <v>621</v>
      </c>
      <c r="S62" s="385" t="s">
        <v>621</v>
      </c>
      <c r="T62" s="395" t="s">
        <v>621</v>
      </c>
      <c r="U62" s="395" t="s">
        <v>621</v>
      </c>
      <c r="V62" s="395" t="s">
        <v>621</v>
      </c>
      <c r="W62" s="395" t="s">
        <v>621</v>
      </c>
      <c r="X62" s="395" t="s">
        <v>621</v>
      </c>
      <c r="Y62" s="395" t="s">
        <v>621</v>
      </c>
      <c r="Z62" s="395" t="s">
        <v>621</v>
      </c>
      <c r="AA62" s="395" t="s">
        <v>621</v>
      </c>
      <c r="AB62" s="395" t="s">
        <v>621</v>
      </c>
      <c r="AC62" s="395" t="s">
        <v>621</v>
      </c>
      <c r="AD62" s="395" t="s">
        <v>621</v>
      </c>
      <c r="AE62" s="395" t="s">
        <v>621</v>
      </c>
      <c r="AF62" s="395" t="s">
        <v>621</v>
      </c>
      <c r="AG62" s="395" t="s">
        <v>621</v>
      </c>
      <c r="AH62" s="395" t="s">
        <v>621</v>
      </c>
      <c r="AI62" s="395" t="s">
        <v>621</v>
      </c>
      <c r="AJ62" s="395" t="s">
        <v>621</v>
      </c>
      <c r="AK62" s="395" t="s">
        <v>621</v>
      </c>
      <c r="AL62" s="395" t="s">
        <v>621</v>
      </c>
      <c r="AM62" s="395" t="s">
        <v>621</v>
      </c>
      <c r="AN62" s="395" t="s">
        <v>825</v>
      </c>
      <c r="AO62" s="395" t="s">
        <v>621</v>
      </c>
      <c r="AP62" s="395" t="s">
        <v>621</v>
      </c>
      <c r="AQ62" s="395" t="s">
        <v>621</v>
      </c>
      <c r="AR62" s="395" t="s">
        <v>621</v>
      </c>
      <c r="AS62" s="395">
        <f>'Ф1 2022'!L69</f>
        <v>38</v>
      </c>
      <c r="AT62" s="395" t="s">
        <v>825</v>
      </c>
      <c r="AU62" s="395" t="s">
        <v>621</v>
      </c>
      <c r="AV62" s="395" t="s">
        <v>621</v>
      </c>
      <c r="AW62" s="395" t="s">
        <v>621</v>
      </c>
      <c r="AX62" s="395" t="s">
        <v>621</v>
      </c>
      <c r="AY62" s="395">
        <v>31</v>
      </c>
      <c r="AZ62" s="395" t="s">
        <v>621</v>
      </c>
      <c r="BA62" s="395" t="s">
        <v>621</v>
      </c>
      <c r="BB62" s="395" t="s">
        <v>621</v>
      </c>
      <c r="BC62" s="395" t="s">
        <v>621</v>
      </c>
      <c r="BD62" s="395" t="s">
        <v>621</v>
      </c>
      <c r="BE62" s="395" t="s">
        <v>621</v>
      </c>
      <c r="BF62" s="395" t="s">
        <v>621</v>
      </c>
      <c r="BG62" s="395" t="s">
        <v>621</v>
      </c>
      <c r="BH62" s="395" t="s">
        <v>621</v>
      </c>
      <c r="BI62" s="395" t="s">
        <v>621</v>
      </c>
      <c r="BJ62" s="395" t="s">
        <v>621</v>
      </c>
      <c r="BK62" s="395" t="s">
        <v>621</v>
      </c>
      <c r="BL62" s="395" t="s">
        <v>621</v>
      </c>
      <c r="BM62" s="395" t="s">
        <v>621</v>
      </c>
      <c r="BN62" s="395" t="s">
        <v>621</v>
      </c>
      <c r="BO62" s="395" t="s">
        <v>621</v>
      </c>
      <c r="BP62" s="395" t="s">
        <v>621</v>
      </c>
      <c r="BQ62" s="395" t="s">
        <v>621</v>
      </c>
      <c r="BR62" s="395" t="s">
        <v>621</v>
      </c>
      <c r="BS62" s="395" t="s">
        <v>621</v>
      </c>
      <c r="BT62" s="395" t="s">
        <v>621</v>
      </c>
      <c r="BU62" s="395" t="s">
        <v>621</v>
      </c>
      <c r="BV62" s="395" t="s">
        <v>621</v>
      </c>
      <c r="BW62" s="395" t="s">
        <v>621</v>
      </c>
      <c r="BX62" s="415" t="s">
        <v>621</v>
      </c>
    </row>
    <row r="63" spans="1:76" s="416" customFormat="1" ht="26.25" x14ac:dyDescent="0.25">
      <c r="A63" s="380" t="s">
        <v>893</v>
      </c>
      <c r="B63" s="400" t="s">
        <v>877</v>
      </c>
      <c r="C63" s="395" t="s">
        <v>1065</v>
      </c>
      <c r="D63" s="395" t="s">
        <v>621</v>
      </c>
      <c r="E63" s="395" t="s">
        <v>621</v>
      </c>
      <c r="F63" s="395" t="s">
        <v>621</v>
      </c>
      <c r="G63" s="395" t="s">
        <v>621</v>
      </c>
      <c r="H63" s="395" t="s">
        <v>621</v>
      </c>
      <c r="I63" s="395" t="s">
        <v>621</v>
      </c>
      <c r="J63" s="395" t="s">
        <v>621</v>
      </c>
      <c r="K63" s="395" t="s">
        <v>621</v>
      </c>
      <c r="L63" s="395" t="s">
        <v>621</v>
      </c>
      <c r="M63" s="395" t="s">
        <v>621</v>
      </c>
      <c r="N63" s="395" t="s">
        <v>621</v>
      </c>
      <c r="O63" s="395" t="s">
        <v>621</v>
      </c>
      <c r="P63" s="395" t="s">
        <v>621</v>
      </c>
      <c r="Q63" s="395" t="s">
        <v>621</v>
      </c>
      <c r="R63" s="395" t="s">
        <v>621</v>
      </c>
      <c r="S63" s="385" t="s">
        <v>621</v>
      </c>
      <c r="T63" s="395" t="s">
        <v>621</v>
      </c>
      <c r="U63" s="395" t="s">
        <v>621</v>
      </c>
      <c r="V63" s="395" t="s">
        <v>621</v>
      </c>
      <c r="W63" s="395" t="s">
        <v>621</v>
      </c>
      <c r="X63" s="395" t="s">
        <v>621</v>
      </c>
      <c r="Y63" s="395" t="s">
        <v>621</v>
      </c>
      <c r="Z63" s="395" t="s">
        <v>621</v>
      </c>
      <c r="AA63" s="395" t="s">
        <v>621</v>
      </c>
      <c r="AB63" s="395" t="s">
        <v>621</v>
      </c>
      <c r="AC63" s="395" t="s">
        <v>621</v>
      </c>
      <c r="AD63" s="395" t="s">
        <v>621</v>
      </c>
      <c r="AE63" s="395" t="s">
        <v>621</v>
      </c>
      <c r="AF63" s="395" t="s">
        <v>621</v>
      </c>
      <c r="AG63" s="395" t="s">
        <v>621</v>
      </c>
      <c r="AH63" s="395" t="s">
        <v>621</v>
      </c>
      <c r="AI63" s="395" t="s">
        <v>621</v>
      </c>
      <c r="AJ63" s="395" t="s">
        <v>621</v>
      </c>
      <c r="AK63" s="395" t="s">
        <v>621</v>
      </c>
      <c r="AL63" s="395" t="s">
        <v>621</v>
      </c>
      <c r="AM63" s="395" t="s">
        <v>621</v>
      </c>
      <c r="AN63" s="395" t="s">
        <v>621</v>
      </c>
      <c r="AO63" s="395" t="s">
        <v>621</v>
      </c>
      <c r="AP63" s="395" t="s">
        <v>621</v>
      </c>
      <c r="AQ63" s="395" t="s">
        <v>621</v>
      </c>
      <c r="AR63" s="395" t="s">
        <v>621</v>
      </c>
      <c r="AS63" s="395" t="s">
        <v>621</v>
      </c>
      <c r="AT63" s="395" t="s">
        <v>621</v>
      </c>
      <c r="AU63" s="395" t="s">
        <v>621</v>
      </c>
      <c r="AV63" s="395" t="s">
        <v>621</v>
      </c>
      <c r="AW63" s="395" t="s">
        <v>621</v>
      </c>
      <c r="AX63" s="395" t="s">
        <v>621</v>
      </c>
      <c r="AY63" s="395" t="s">
        <v>621</v>
      </c>
      <c r="AZ63" s="395" t="s">
        <v>825</v>
      </c>
      <c r="BA63" s="395">
        <f>'Ф1 2023'!J66</f>
        <v>1.26</v>
      </c>
      <c r="BB63" s="395" t="s">
        <v>621</v>
      </c>
      <c r="BC63" s="395" t="s">
        <v>621</v>
      </c>
      <c r="BD63" s="395" t="s">
        <v>621</v>
      </c>
      <c r="BE63" s="395" t="s">
        <v>621</v>
      </c>
      <c r="BF63" s="395" t="s">
        <v>825</v>
      </c>
      <c r="BG63" s="395">
        <v>1.26</v>
      </c>
      <c r="BH63" s="395" t="s">
        <v>621</v>
      </c>
      <c r="BI63" s="395" t="s">
        <v>621</v>
      </c>
      <c r="BJ63" s="395" t="s">
        <v>621</v>
      </c>
      <c r="BK63" s="395" t="s">
        <v>621</v>
      </c>
      <c r="BL63" s="395" t="s">
        <v>621</v>
      </c>
      <c r="BM63" s="395" t="s">
        <v>621</v>
      </c>
      <c r="BN63" s="395" t="s">
        <v>621</v>
      </c>
      <c r="BO63" s="395" t="s">
        <v>621</v>
      </c>
      <c r="BP63" s="395" t="s">
        <v>621</v>
      </c>
      <c r="BQ63" s="395" t="s">
        <v>621</v>
      </c>
      <c r="BR63" s="395" t="s">
        <v>621</v>
      </c>
      <c r="BS63" s="395" t="s">
        <v>621</v>
      </c>
      <c r="BT63" s="395" t="s">
        <v>621</v>
      </c>
      <c r="BU63" s="395" t="s">
        <v>621</v>
      </c>
      <c r="BV63" s="395" t="s">
        <v>621</v>
      </c>
      <c r="BW63" s="395" t="s">
        <v>621</v>
      </c>
      <c r="BX63" s="415" t="s">
        <v>621</v>
      </c>
    </row>
    <row r="64" spans="1:76" s="416" customFormat="1" ht="26.25" x14ac:dyDescent="0.25">
      <c r="A64" s="380" t="s">
        <v>894</v>
      </c>
      <c r="B64" s="400" t="s">
        <v>878</v>
      </c>
      <c r="C64" s="395" t="s">
        <v>1066</v>
      </c>
      <c r="D64" s="395" t="s">
        <v>621</v>
      </c>
      <c r="E64" s="395" t="s">
        <v>621</v>
      </c>
      <c r="F64" s="395" t="s">
        <v>621</v>
      </c>
      <c r="G64" s="395" t="s">
        <v>621</v>
      </c>
      <c r="H64" s="395" t="s">
        <v>621</v>
      </c>
      <c r="I64" s="395" t="s">
        <v>621</v>
      </c>
      <c r="J64" s="395" t="s">
        <v>621</v>
      </c>
      <c r="K64" s="395" t="s">
        <v>621</v>
      </c>
      <c r="L64" s="395" t="s">
        <v>621</v>
      </c>
      <c r="M64" s="395" t="s">
        <v>621</v>
      </c>
      <c r="N64" s="395" t="s">
        <v>621</v>
      </c>
      <c r="O64" s="395" t="s">
        <v>621</v>
      </c>
      <c r="P64" s="395" t="s">
        <v>621</v>
      </c>
      <c r="Q64" s="395" t="s">
        <v>621</v>
      </c>
      <c r="R64" s="395" t="s">
        <v>621</v>
      </c>
      <c r="S64" s="385" t="s">
        <v>621</v>
      </c>
      <c r="T64" s="395" t="s">
        <v>621</v>
      </c>
      <c r="U64" s="395" t="s">
        <v>621</v>
      </c>
      <c r="V64" s="395" t="s">
        <v>621</v>
      </c>
      <c r="W64" s="395" t="s">
        <v>621</v>
      </c>
      <c r="X64" s="395" t="s">
        <v>621</v>
      </c>
      <c r="Y64" s="395" t="s">
        <v>621</v>
      </c>
      <c r="Z64" s="395" t="s">
        <v>621</v>
      </c>
      <c r="AA64" s="395" t="s">
        <v>621</v>
      </c>
      <c r="AB64" s="395" t="s">
        <v>621</v>
      </c>
      <c r="AC64" s="395" t="s">
        <v>621</v>
      </c>
      <c r="AD64" s="395" t="s">
        <v>621</v>
      </c>
      <c r="AE64" s="395" t="s">
        <v>621</v>
      </c>
      <c r="AF64" s="395" t="s">
        <v>621</v>
      </c>
      <c r="AG64" s="395" t="s">
        <v>621</v>
      </c>
      <c r="AH64" s="395" t="s">
        <v>621</v>
      </c>
      <c r="AI64" s="395" t="s">
        <v>621</v>
      </c>
      <c r="AJ64" s="395" t="s">
        <v>621</v>
      </c>
      <c r="AK64" s="395" t="s">
        <v>621</v>
      </c>
      <c r="AL64" s="395" t="s">
        <v>621</v>
      </c>
      <c r="AM64" s="395" t="s">
        <v>621</v>
      </c>
      <c r="AN64" s="395" t="s">
        <v>621</v>
      </c>
      <c r="AO64" s="395" t="s">
        <v>621</v>
      </c>
      <c r="AP64" s="395" t="s">
        <v>621</v>
      </c>
      <c r="AQ64" s="395" t="s">
        <v>621</v>
      </c>
      <c r="AR64" s="395" t="s">
        <v>621</v>
      </c>
      <c r="AS64" s="395" t="s">
        <v>621</v>
      </c>
      <c r="AT64" s="395" t="s">
        <v>621</v>
      </c>
      <c r="AU64" s="395" t="s">
        <v>621</v>
      </c>
      <c r="AV64" s="395" t="s">
        <v>621</v>
      </c>
      <c r="AW64" s="395" t="s">
        <v>621</v>
      </c>
      <c r="AX64" s="395" t="s">
        <v>621</v>
      </c>
      <c r="AY64" s="395" t="s">
        <v>621</v>
      </c>
      <c r="AZ64" s="395" t="s">
        <v>825</v>
      </c>
      <c r="BA64" s="395">
        <f>'Ф1 2023'!J67</f>
        <v>1.03</v>
      </c>
      <c r="BB64" s="395" t="s">
        <v>621</v>
      </c>
      <c r="BC64" s="395" t="s">
        <v>621</v>
      </c>
      <c r="BD64" s="395" t="s">
        <v>621</v>
      </c>
      <c r="BE64" s="395" t="s">
        <v>621</v>
      </c>
      <c r="BF64" s="395" t="s">
        <v>825</v>
      </c>
      <c r="BG64" s="395">
        <v>1.03</v>
      </c>
      <c r="BH64" s="395" t="s">
        <v>621</v>
      </c>
      <c r="BI64" s="395" t="s">
        <v>621</v>
      </c>
      <c r="BJ64" s="395" t="s">
        <v>621</v>
      </c>
      <c r="BK64" s="395" t="s">
        <v>621</v>
      </c>
      <c r="BL64" s="395" t="s">
        <v>621</v>
      </c>
      <c r="BM64" s="395" t="s">
        <v>621</v>
      </c>
      <c r="BN64" s="395" t="s">
        <v>621</v>
      </c>
      <c r="BO64" s="395" t="s">
        <v>621</v>
      </c>
      <c r="BP64" s="395" t="s">
        <v>621</v>
      </c>
      <c r="BQ64" s="395" t="s">
        <v>621</v>
      </c>
      <c r="BR64" s="395" t="s">
        <v>621</v>
      </c>
      <c r="BS64" s="395" t="s">
        <v>621</v>
      </c>
      <c r="BT64" s="395" t="s">
        <v>621</v>
      </c>
      <c r="BU64" s="395" t="s">
        <v>621</v>
      </c>
      <c r="BV64" s="395" t="s">
        <v>621</v>
      </c>
      <c r="BW64" s="395" t="s">
        <v>621</v>
      </c>
      <c r="BX64" s="415" t="s">
        <v>621</v>
      </c>
    </row>
    <row r="65" spans="1:76" s="416" customFormat="1" ht="26.25" x14ac:dyDescent="0.25">
      <c r="A65" s="380" t="s">
        <v>895</v>
      </c>
      <c r="B65" s="400" t="s">
        <v>879</v>
      </c>
      <c r="C65" s="395" t="s">
        <v>1067</v>
      </c>
      <c r="D65" s="395" t="s">
        <v>621</v>
      </c>
      <c r="E65" s="395" t="s">
        <v>621</v>
      </c>
      <c r="F65" s="395" t="s">
        <v>621</v>
      </c>
      <c r="G65" s="395" t="s">
        <v>621</v>
      </c>
      <c r="H65" s="395" t="s">
        <v>621</v>
      </c>
      <c r="I65" s="395" t="s">
        <v>621</v>
      </c>
      <c r="J65" s="395" t="s">
        <v>621</v>
      </c>
      <c r="K65" s="395" t="s">
        <v>621</v>
      </c>
      <c r="L65" s="395" t="s">
        <v>621</v>
      </c>
      <c r="M65" s="395" t="s">
        <v>621</v>
      </c>
      <c r="N65" s="395" t="s">
        <v>621</v>
      </c>
      <c r="O65" s="395" t="s">
        <v>621</v>
      </c>
      <c r="P65" s="395" t="s">
        <v>621</v>
      </c>
      <c r="Q65" s="395" t="s">
        <v>621</v>
      </c>
      <c r="R65" s="395" t="s">
        <v>621</v>
      </c>
      <c r="S65" s="385" t="s">
        <v>621</v>
      </c>
      <c r="T65" s="395" t="s">
        <v>621</v>
      </c>
      <c r="U65" s="395" t="s">
        <v>621</v>
      </c>
      <c r="V65" s="395" t="s">
        <v>621</v>
      </c>
      <c r="W65" s="395" t="s">
        <v>621</v>
      </c>
      <c r="X65" s="395" t="s">
        <v>621</v>
      </c>
      <c r="Y65" s="395" t="s">
        <v>621</v>
      </c>
      <c r="Z65" s="395" t="s">
        <v>621</v>
      </c>
      <c r="AA65" s="395" t="s">
        <v>621</v>
      </c>
      <c r="AB65" s="395" t="s">
        <v>621</v>
      </c>
      <c r="AC65" s="395" t="s">
        <v>621</v>
      </c>
      <c r="AD65" s="395" t="s">
        <v>621</v>
      </c>
      <c r="AE65" s="395" t="s">
        <v>621</v>
      </c>
      <c r="AF65" s="395" t="s">
        <v>621</v>
      </c>
      <c r="AG65" s="395" t="s">
        <v>621</v>
      </c>
      <c r="AH65" s="395" t="s">
        <v>621</v>
      </c>
      <c r="AI65" s="395" t="s">
        <v>621</v>
      </c>
      <c r="AJ65" s="395" t="s">
        <v>621</v>
      </c>
      <c r="AK65" s="395" t="s">
        <v>621</v>
      </c>
      <c r="AL65" s="395" t="s">
        <v>621</v>
      </c>
      <c r="AM65" s="395" t="s">
        <v>621</v>
      </c>
      <c r="AN65" s="395" t="s">
        <v>621</v>
      </c>
      <c r="AO65" s="395" t="s">
        <v>621</v>
      </c>
      <c r="AP65" s="395" t="s">
        <v>621</v>
      </c>
      <c r="AQ65" s="395" t="s">
        <v>621</v>
      </c>
      <c r="AR65" s="395" t="s">
        <v>621</v>
      </c>
      <c r="AS65" s="395" t="s">
        <v>621</v>
      </c>
      <c r="AT65" s="395" t="s">
        <v>621</v>
      </c>
      <c r="AU65" s="395" t="s">
        <v>621</v>
      </c>
      <c r="AV65" s="395" t="s">
        <v>621</v>
      </c>
      <c r="AW65" s="395" t="s">
        <v>621</v>
      </c>
      <c r="AX65" s="395" t="s">
        <v>621</v>
      </c>
      <c r="AY65" s="395" t="s">
        <v>621</v>
      </c>
      <c r="AZ65" s="395" t="s">
        <v>825</v>
      </c>
      <c r="BA65" s="395">
        <f>'Ф1 2023'!J68</f>
        <v>0.63</v>
      </c>
      <c r="BB65" s="395" t="s">
        <v>621</v>
      </c>
      <c r="BC65" s="395" t="s">
        <v>621</v>
      </c>
      <c r="BD65" s="395" t="s">
        <v>621</v>
      </c>
      <c r="BE65" s="395" t="s">
        <v>621</v>
      </c>
      <c r="BF65" s="395" t="s">
        <v>825</v>
      </c>
      <c r="BG65" s="395">
        <v>0.63</v>
      </c>
      <c r="BH65" s="395" t="s">
        <v>621</v>
      </c>
      <c r="BI65" s="395" t="s">
        <v>621</v>
      </c>
      <c r="BJ65" s="395" t="s">
        <v>621</v>
      </c>
      <c r="BK65" s="395" t="s">
        <v>621</v>
      </c>
      <c r="BL65" s="395" t="s">
        <v>621</v>
      </c>
      <c r="BM65" s="395" t="s">
        <v>621</v>
      </c>
      <c r="BN65" s="395" t="s">
        <v>621</v>
      </c>
      <c r="BO65" s="395" t="s">
        <v>621</v>
      </c>
      <c r="BP65" s="395" t="s">
        <v>621</v>
      </c>
      <c r="BQ65" s="395" t="s">
        <v>621</v>
      </c>
      <c r="BR65" s="395" t="s">
        <v>621</v>
      </c>
      <c r="BS65" s="395" t="s">
        <v>621</v>
      </c>
      <c r="BT65" s="395" t="s">
        <v>621</v>
      </c>
      <c r="BU65" s="395" t="s">
        <v>621</v>
      </c>
      <c r="BV65" s="395" t="s">
        <v>621</v>
      </c>
      <c r="BW65" s="395" t="s">
        <v>621</v>
      </c>
      <c r="BX65" s="415" t="s">
        <v>621</v>
      </c>
    </row>
    <row r="66" spans="1:76" s="416" customFormat="1" ht="26.25" x14ac:dyDescent="0.25">
      <c r="A66" s="380" t="s">
        <v>896</v>
      </c>
      <c r="B66" s="400" t="s">
        <v>880</v>
      </c>
      <c r="C66" s="395" t="s">
        <v>1068</v>
      </c>
      <c r="D66" s="395" t="s">
        <v>621</v>
      </c>
      <c r="E66" s="395" t="s">
        <v>621</v>
      </c>
      <c r="F66" s="395" t="s">
        <v>621</v>
      </c>
      <c r="G66" s="395" t="s">
        <v>621</v>
      </c>
      <c r="H66" s="395" t="s">
        <v>621</v>
      </c>
      <c r="I66" s="395" t="s">
        <v>621</v>
      </c>
      <c r="J66" s="395" t="s">
        <v>621</v>
      </c>
      <c r="K66" s="395" t="s">
        <v>621</v>
      </c>
      <c r="L66" s="395" t="s">
        <v>621</v>
      </c>
      <c r="M66" s="395" t="s">
        <v>621</v>
      </c>
      <c r="N66" s="395" t="s">
        <v>621</v>
      </c>
      <c r="O66" s="395" t="s">
        <v>621</v>
      </c>
      <c r="P66" s="395" t="s">
        <v>621</v>
      </c>
      <c r="Q66" s="395" t="s">
        <v>621</v>
      </c>
      <c r="R66" s="395" t="s">
        <v>621</v>
      </c>
      <c r="S66" s="385" t="s">
        <v>621</v>
      </c>
      <c r="T66" s="395" t="s">
        <v>621</v>
      </c>
      <c r="U66" s="395" t="s">
        <v>621</v>
      </c>
      <c r="V66" s="395" t="s">
        <v>621</v>
      </c>
      <c r="W66" s="395" t="s">
        <v>621</v>
      </c>
      <c r="X66" s="395" t="s">
        <v>621</v>
      </c>
      <c r="Y66" s="395" t="s">
        <v>621</v>
      </c>
      <c r="Z66" s="395" t="s">
        <v>621</v>
      </c>
      <c r="AA66" s="395" t="s">
        <v>621</v>
      </c>
      <c r="AB66" s="395" t="s">
        <v>621</v>
      </c>
      <c r="AC66" s="395" t="s">
        <v>621</v>
      </c>
      <c r="AD66" s="395" t="s">
        <v>621</v>
      </c>
      <c r="AE66" s="395" t="s">
        <v>621</v>
      </c>
      <c r="AF66" s="395" t="s">
        <v>621</v>
      </c>
      <c r="AG66" s="395" t="s">
        <v>621</v>
      </c>
      <c r="AH66" s="395" t="s">
        <v>621</v>
      </c>
      <c r="AI66" s="395" t="s">
        <v>621</v>
      </c>
      <c r="AJ66" s="395" t="s">
        <v>621</v>
      </c>
      <c r="AK66" s="395" t="s">
        <v>621</v>
      </c>
      <c r="AL66" s="395" t="s">
        <v>621</v>
      </c>
      <c r="AM66" s="395" t="s">
        <v>621</v>
      </c>
      <c r="AN66" s="395" t="s">
        <v>621</v>
      </c>
      <c r="AO66" s="395" t="s">
        <v>621</v>
      </c>
      <c r="AP66" s="395" t="s">
        <v>621</v>
      </c>
      <c r="AQ66" s="395" t="s">
        <v>621</v>
      </c>
      <c r="AR66" s="395" t="s">
        <v>621</v>
      </c>
      <c r="AS66" s="395" t="s">
        <v>621</v>
      </c>
      <c r="AT66" s="395" t="s">
        <v>621</v>
      </c>
      <c r="AU66" s="395" t="s">
        <v>621</v>
      </c>
      <c r="AV66" s="395" t="s">
        <v>621</v>
      </c>
      <c r="AW66" s="395" t="s">
        <v>621</v>
      </c>
      <c r="AX66" s="395" t="s">
        <v>621</v>
      </c>
      <c r="AY66" s="395" t="s">
        <v>621</v>
      </c>
      <c r="AZ66" s="395" t="s">
        <v>825</v>
      </c>
      <c r="BA66" s="395">
        <f>'Ф1 2023'!J69</f>
        <v>0.63</v>
      </c>
      <c r="BB66" s="395" t="s">
        <v>621</v>
      </c>
      <c r="BC66" s="395" t="s">
        <v>621</v>
      </c>
      <c r="BD66" s="395" t="s">
        <v>621</v>
      </c>
      <c r="BE66" s="395" t="s">
        <v>621</v>
      </c>
      <c r="BF66" s="395" t="s">
        <v>825</v>
      </c>
      <c r="BG66" s="395">
        <v>0.63</v>
      </c>
      <c r="BH66" s="395" t="s">
        <v>621</v>
      </c>
      <c r="BI66" s="395" t="s">
        <v>621</v>
      </c>
      <c r="BJ66" s="395" t="s">
        <v>621</v>
      </c>
      <c r="BK66" s="395" t="s">
        <v>621</v>
      </c>
      <c r="BL66" s="395" t="s">
        <v>621</v>
      </c>
      <c r="BM66" s="395" t="s">
        <v>621</v>
      </c>
      <c r="BN66" s="395" t="s">
        <v>621</v>
      </c>
      <c r="BO66" s="395" t="s">
        <v>621</v>
      </c>
      <c r="BP66" s="395" t="s">
        <v>621</v>
      </c>
      <c r="BQ66" s="395" t="s">
        <v>621</v>
      </c>
      <c r="BR66" s="395" t="s">
        <v>621</v>
      </c>
      <c r="BS66" s="395" t="s">
        <v>621</v>
      </c>
      <c r="BT66" s="395" t="s">
        <v>621</v>
      </c>
      <c r="BU66" s="395" t="s">
        <v>621</v>
      </c>
      <c r="BV66" s="395" t="s">
        <v>621</v>
      </c>
      <c r="BW66" s="395" t="s">
        <v>621</v>
      </c>
      <c r="BX66" s="415" t="s">
        <v>621</v>
      </c>
    </row>
    <row r="67" spans="1:76" s="416" customFormat="1" ht="26.25" x14ac:dyDescent="0.25">
      <c r="A67" s="380" t="s">
        <v>897</v>
      </c>
      <c r="B67" s="400" t="s">
        <v>881</v>
      </c>
      <c r="C67" s="395" t="s">
        <v>1069</v>
      </c>
      <c r="D67" s="395" t="s">
        <v>621</v>
      </c>
      <c r="E67" s="395" t="s">
        <v>621</v>
      </c>
      <c r="F67" s="395" t="s">
        <v>621</v>
      </c>
      <c r="G67" s="395" t="s">
        <v>621</v>
      </c>
      <c r="H67" s="395" t="s">
        <v>621</v>
      </c>
      <c r="I67" s="395" t="s">
        <v>621</v>
      </c>
      <c r="J67" s="395" t="s">
        <v>621</v>
      </c>
      <c r="K67" s="395" t="s">
        <v>621</v>
      </c>
      <c r="L67" s="395" t="s">
        <v>621</v>
      </c>
      <c r="M67" s="395" t="s">
        <v>621</v>
      </c>
      <c r="N67" s="395" t="s">
        <v>621</v>
      </c>
      <c r="O67" s="395" t="s">
        <v>621</v>
      </c>
      <c r="P67" s="395" t="s">
        <v>621</v>
      </c>
      <c r="Q67" s="395" t="s">
        <v>621</v>
      </c>
      <c r="R67" s="395" t="s">
        <v>621</v>
      </c>
      <c r="S67" s="385" t="s">
        <v>621</v>
      </c>
      <c r="T67" s="395" t="s">
        <v>621</v>
      </c>
      <c r="U67" s="395" t="s">
        <v>621</v>
      </c>
      <c r="V67" s="395" t="s">
        <v>621</v>
      </c>
      <c r="W67" s="395" t="s">
        <v>621</v>
      </c>
      <c r="X67" s="395" t="s">
        <v>621</v>
      </c>
      <c r="Y67" s="395" t="s">
        <v>621</v>
      </c>
      <c r="Z67" s="395" t="s">
        <v>621</v>
      </c>
      <c r="AA67" s="395" t="s">
        <v>621</v>
      </c>
      <c r="AB67" s="395" t="s">
        <v>621</v>
      </c>
      <c r="AC67" s="395" t="s">
        <v>621</v>
      </c>
      <c r="AD67" s="395" t="s">
        <v>621</v>
      </c>
      <c r="AE67" s="395" t="s">
        <v>621</v>
      </c>
      <c r="AF67" s="395" t="s">
        <v>621</v>
      </c>
      <c r="AG67" s="395" t="s">
        <v>621</v>
      </c>
      <c r="AH67" s="395" t="s">
        <v>621</v>
      </c>
      <c r="AI67" s="395" t="s">
        <v>621</v>
      </c>
      <c r="AJ67" s="395" t="s">
        <v>621</v>
      </c>
      <c r="AK67" s="395" t="s">
        <v>621</v>
      </c>
      <c r="AL67" s="395" t="s">
        <v>621</v>
      </c>
      <c r="AM67" s="395" t="s">
        <v>621</v>
      </c>
      <c r="AN67" s="395" t="s">
        <v>621</v>
      </c>
      <c r="AO67" s="395" t="s">
        <v>621</v>
      </c>
      <c r="AP67" s="395" t="s">
        <v>621</v>
      </c>
      <c r="AQ67" s="395" t="s">
        <v>621</v>
      </c>
      <c r="AR67" s="395" t="s">
        <v>621</v>
      </c>
      <c r="AS67" s="395" t="s">
        <v>621</v>
      </c>
      <c r="AT67" s="395" t="s">
        <v>621</v>
      </c>
      <c r="AU67" s="395" t="s">
        <v>621</v>
      </c>
      <c r="AV67" s="395" t="s">
        <v>621</v>
      </c>
      <c r="AW67" s="395" t="s">
        <v>621</v>
      </c>
      <c r="AX67" s="395" t="s">
        <v>621</v>
      </c>
      <c r="AY67" s="395" t="s">
        <v>621</v>
      </c>
      <c r="AZ67" s="395" t="s">
        <v>825</v>
      </c>
      <c r="BA67" s="395">
        <f>'Ф1 2023'!J70</f>
        <v>0.8</v>
      </c>
      <c r="BB67" s="395" t="s">
        <v>621</v>
      </c>
      <c r="BC67" s="395" t="s">
        <v>621</v>
      </c>
      <c r="BD67" s="395" t="s">
        <v>621</v>
      </c>
      <c r="BE67" s="395" t="s">
        <v>621</v>
      </c>
      <c r="BF67" s="395" t="s">
        <v>825</v>
      </c>
      <c r="BG67" s="395">
        <v>0.8</v>
      </c>
      <c r="BH67" s="395" t="s">
        <v>621</v>
      </c>
      <c r="BI67" s="395" t="s">
        <v>621</v>
      </c>
      <c r="BJ67" s="395" t="s">
        <v>621</v>
      </c>
      <c r="BK67" s="395" t="s">
        <v>621</v>
      </c>
      <c r="BL67" s="395" t="s">
        <v>621</v>
      </c>
      <c r="BM67" s="395" t="s">
        <v>621</v>
      </c>
      <c r="BN67" s="395" t="s">
        <v>621</v>
      </c>
      <c r="BO67" s="395" t="s">
        <v>621</v>
      </c>
      <c r="BP67" s="395" t="s">
        <v>621</v>
      </c>
      <c r="BQ67" s="395" t="s">
        <v>621</v>
      </c>
      <c r="BR67" s="395" t="s">
        <v>621</v>
      </c>
      <c r="BS67" s="395" t="s">
        <v>621</v>
      </c>
      <c r="BT67" s="395" t="s">
        <v>621</v>
      </c>
      <c r="BU67" s="395" t="s">
        <v>621</v>
      </c>
      <c r="BV67" s="395" t="s">
        <v>621</v>
      </c>
      <c r="BW67" s="395" t="s">
        <v>621</v>
      </c>
      <c r="BX67" s="415" t="s">
        <v>621</v>
      </c>
    </row>
    <row r="68" spans="1:76" s="416" customFormat="1" ht="26.25" x14ac:dyDescent="0.25">
      <c r="A68" s="380" t="s">
        <v>898</v>
      </c>
      <c r="B68" s="400" t="s">
        <v>882</v>
      </c>
      <c r="C68" s="395" t="s">
        <v>1070</v>
      </c>
      <c r="D68" s="395" t="s">
        <v>621</v>
      </c>
      <c r="E68" s="395" t="s">
        <v>621</v>
      </c>
      <c r="F68" s="395" t="s">
        <v>621</v>
      </c>
      <c r="G68" s="395" t="s">
        <v>621</v>
      </c>
      <c r="H68" s="395" t="s">
        <v>621</v>
      </c>
      <c r="I68" s="395" t="s">
        <v>621</v>
      </c>
      <c r="J68" s="395" t="s">
        <v>621</v>
      </c>
      <c r="K68" s="395" t="s">
        <v>621</v>
      </c>
      <c r="L68" s="395" t="s">
        <v>621</v>
      </c>
      <c r="M68" s="395" t="s">
        <v>621</v>
      </c>
      <c r="N68" s="395" t="s">
        <v>621</v>
      </c>
      <c r="O68" s="395" t="s">
        <v>621</v>
      </c>
      <c r="P68" s="395" t="s">
        <v>621</v>
      </c>
      <c r="Q68" s="395" t="s">
        <v>621</v>
      </c>
      <c r="R68" s="395" t="s">
        <v>621</v>
      </c>
      <c r="S68" s="385" t="s">
        <v>621</v>
      </c>
      <c r="T68" s="395" t="s">
        <v>621</v>
      </c>
      <c r="U68" s="395" t="s">
        <v>621</v>
      </c>
      <c r="V68" s="395" t="s">
        <v>621</v>
      </c>
      <c r="W68" s="395" t="s">
        <v>621</v>
      </c>
      <c r="X68" s="395" t="s">
        <v>621</v>
      </c>
      <c r="Y68" s="395" t="s">
        <v>621</v>
      </c>
      <c r="Z68" s="395" t="s">
        <v>621</v>
      </c>
      <c r="AA68" s="395" t="s">
        <v>621</v>
      </c>
      <c r="AB68" s="395" t="s">
        <v>621</v>
      </c>
      <c r="AC68" s="395" t="s">
        <v>621</v>
      </c>
      <c r="AD68" s="395" t="s">
        <v>621</v>
      </c>
      <c r="AE68" s="395" t="s">
        <v>621</v>
      </c>
      <c r="AF68" s="395" t="s">
        <v>621</v>
      </c>
      <c r="AG68" s="395" t="s">
        <v>621</v>
      </c>
      <c r="AH68" s="395" t="s">
        <v>621</v>
      </c>
      <c r="AI68" s="395" t="s">
        <v>621</v>
      </c>
      <c r="AJ68" s="395" t="s">
        <v>621</v>
      </c>
      <c r="AK68" s="395" t="s">
        <v>621</v>
      </c>
      <c r="AL68" s="395" t="s">
        <v>621</v>
      </c>
      <c r="AM68" s="395" t="s">
        <v>621</v>
      </c>
      <c r="AN68" s="395" t="s">
        <v>621</v>
      </c>
      <c r="AO68" s="395" t="s">
        <v>621</v>
      </c>
      <c r="AP68" s="395" t="s">
        <v>621</v>
      </c>
      <c r="AQ68" s="395" t="s">
        <v>621</v>
      </c>
      <c r="AR68" s="395" t="s">
        <v>621</v>
      </c>
      <c r="AS68" s="395" t="s">
        <v>621</v>
      </c>
      <c r="AT68" s="395" t="s">
        <v>621</v>
      </c>
      <c r="AU68" s="395" t="s">
        <v>621</v>
      </c>
      <c r="AV68" s="395" t="s">
        <v>621</v>
      </c>
      <c r="AW68" s="395" t="s">
        <v>621</v>
      </c>
      <c r="AX68" s="395" t="s">
        <v>621</v>
      </c>
      <c r="AY68" s="395" t="s">
        <v>621</v>
      </c>
      <c r="AZ68" s="395" t="s">
        <v>825</v>
      </c>
      <c r="BA68" s="395">
        <f>'Ф1 2023'!J71</f>
        <v>1.26</v>
      </c>
      <c r="BB68" s="395" t="s">
        <v>621</v>
      </c>
      <c r="BC68" s="395" t="s">
        <v>621</v>
      </c>
      <c r="BD68" s="395" t="s">
        <v>621</v>
      </c>
      <c r="BE68" s="395" t="s">
        <v>621</v>
      </c>
      <c r="BF68" s="395" t="s">
        <v>825</v>
      </c>
      <c r="BG68" s="395">
        <v>1.26</v>
      </c>
      <c r="BH68" s="395" t="s">
        <v>621</v>
      </c>
      <c r="BI68" s="395" t="s">
        <v>621</v>
      </c>
      <c r="BJ68" s="395" t="s">
        <v>621</v>
      </c>
      <c r="BK68" s="395" t="s">
        <v>621</v>
      </c>
      <c r="BL68" s="395" t="s">
        <v>621</v>
      </c>
      <c r="BM68" s="395" t="s">
        <v>621</v>
      </c>
      <c r="BN68" s="395" t="s">
        <v>621</v>
      </c>
      <c r="BO68" s="395" t="s">
        <v>621</v>
      </c>
      <c r="BP68" s="395" t="s">
        <v>621</v>
      </c>
      <c r="BQ68" s="395" t="s">
        <v>621</v>
      </c>
      <c r="BR68" s="395" t="s">
        <v>621</v>
      </c>
      <c r="BS68" s="395" t="s">
        <v>621</v>
      </c>
      <c r="BT68" s="395" t="s">
        <v>621</v>
      </c>
      <c r="BU68" s="395" t="s">
        <v>621</v>
      </c>
      <c r="BV68" s="395" t="s">
        <v>621</v>
      </c>
      <c r="BW68" s="395" t="s">
        <v>621</v>
      </c>
      <c r="BX68" s="415" t="s">
        <v>621</v>
      </c>
    </row>
    <row r="69" spans="1:76" s="416" customFormat="1" ht="26.25" x14ac:dyDescent="0.25">
      <c r="A69" s="380" t="s">
        <v>899</v>
      </c>
      <c r="B69" s="400" t="s">
        <v>883</v>
      </c>
      <c r="C69" s="395" t="s">
        <v>1071</v>
      </c>
      <c r="D69" s="395" t="s">
        <v>621</v>
      </c>
      <c r="E69" s="395" t="s">
        <v>621</v>
      </c>
      <c r="F69" s="395" t="s">
        <v>621</v>
      </c>
      <c r="G69" s="395" t="s">
        <v>621</v>
      </c>
      <c r="H69" s="395" t="s">
        <v>621</v>
      </c>
      <c r="I69" s="395" t="s">
        <v>621</v>
      </c>
      <c r="J69" s="395" t="s">
        <v>621</v>
      </c>
      <c r="K69" s="395" t="s">
        <v>621</v>
      </c>
      <c r="L69" s="395" t="s">
        <v>621</v>
      </c>
      <c r="M69" s="395" t="s">
        <v>621</v>
      </c>
      <c r="N69" s="395" t="s">
        <v>621</v>
      </c>
      <c r="O69" s="395" t="s">
        <v>621</v>
      </c>
      <c r="P69" s="395" t="s">
        <v>621</v>
      </c>
      <c r="Q69" s="395" t="s">
        <v>621</v>
      </c>
      <c r="R69" s="395" t="s">
        <v>621</v>
      </c>
      <c r="S69" s="385" t="s">
        <v>621</v>
      </c>
      <c r="T69" s="395" t="s">
        <v>621</v>
      </c>
      <c r="U69" s="395" t="s">
        <v>621</v>
      </c>
      <c r="V69" s="395" t="s">
        <v>621</v>
      </c>
      <c r="W69" s="395" t="s">
        <v>621</v>
      </c>
      <c r="X69" s="395" t="s">
        <v>621</v>
      </c>
      <c r="Y69" s="395" t="s">
        <v>621</v>
      </c>
      <c r="Z69" s="395" t="s">
        <v>621</v>
      </c>
      <c r="AA69" s="395" t="s">
        <v>621</v>
      </c>
      <c r="AB69" s="395" t="s">
        <v>621</v>
      </c>
      <c r="AC69" s="395" t="s">
        <v>621</v>
      </c>
      <c r="AD69" s="395" t="s">
        <v>621</v>
      </c>
      <c r="AE69" s="395" t="s">
        <v>621</v>
      </c>
      <c r="AF69" s="395" t="s">
        <v>621</v>
      </c>
      <c r="AG69" s="395" t="s">
        <v>621</v>
      </c>
      <c r="AH69" s="395" t="s">
        <v>621</v>
      </c>
      <c r="AI69" s="395" t="s">
        <v>621</v>
      </c>
      <c r="AJ69" s="395" t="s">
        <v>621</v>
      </c>
      <c r="AK69" s="395" t="s">
        <v>621</v>
      </c>
      <c r="AL69" s="395" t="s">
        <v>621</v>
      </c>
      <c r="AM69" s="395" t="s">
        <v>621</v>
      </c>
      <c r="AN69" s="395" t="s">
        <v>621</v>
      </c>
      <c r="AO69" s="395" t="s">
        <v>621</v>
      </c>
      <c r="AP69" s="395" t="s">
        <v>621</v>
      </c>
      <c r="AQ69" s="395" t="s">
        <v>621</v>
      </c>
      <c r="AR69" s="395" t="s">
        <v>621</v>
      </c>
      <c r="AS69" s="395" t="s">
        <v>621</v>
      </c>
      <c r="AT69" s="395" t="s">
        <v>621</v>
      </c>
      <c r="AU69" s="395" t="s">
        <v>621</v>
      </c>
      <c r="AV69" s="395" t="s">
        <v>621</v>
      </c>
      <c r="AW69" s="395" t="s">
        <v>621</v>
      </c>
      <c r="AX69" s="395" t="s">
        <v>621</v>
      </c>
      <c r="AY69" s="395" t="s">
        <v>621</v>
      </c>
      <c r="AZ69" s="395" t="s">
        <v>825</v>
      </c>
      <c r="BA69" s="395">
        <f>'Ф1 2023'!J72</f>
        <v>1.26</v>
      </c>
      <c r="BB69" s="395" t="s">
        <v>621</v>
      </c>
      <c r="BC69" s="395" t="s">
        <v>621</v>
      </c>
      <c r="BD69" s="395" t="s">
        <v>621</v>
      </c>
      <c r="BE69" s="395" t="s">
        <v>621</v>
      </c>
      <c r="BF69" s="395" t="s">
        <v>825</v>
      </c>
      <c r="BG69" s="395">
        <v>1.26</v>
      </c>
      <c r="BH69" s="395" t="s">
        <v>621</v>
      </c>
      <c r="BI69" s="395" t="s">
        <v>621</v>
      </c>
      <c r="BJ69" s="395" t="s">
        <v>621</v>
      </c>
      <c r="BK69" s="395" t="s">
        <v>621</v>
      </c>
      <c r="BL69" s="395" t="s">
        <v>621</v>
      </c>
      <c r="BM69" s="395" t="s">
        <v>621</v>
      </c>
      <c r="BN69" s="395" t="s">
        <v>621</v>
      </c>
      <c r="BO69" s="395" t="s">
        <v>621</v>
      </c>
      <c r="BP69" s="395" t="s">
        <v>621</v>
      </c>
      <c r="BQ69" s="395" t="s">
        <v>621</v>
      </c>
      <c r="BR69" s="395" t="s">
        <v>621</v>
      </c>
      <c r="BS69" s="395" t="s">
        <v>621</v>
      </c>
      <c r="BT69" s="395" t="s">
        <v>621</v>
      </c>
      <c r="BU69" s="395" t="s">
        <v>621</v>
      </c>
      <c r="BV69" s="395" t="s">
        <v>621</v>
      </c>
      <c r="BW69" s="395" t="s">
        <v>621</v>
      </c>
      <c r="BX69" s="415" t="s">
        <v>621</v>
      </c>
    </row>
    <row r="70" spans="1:76" s="416" customFormat="1" ht="52.5" x14ac:dyDescent="0.25">
      <c r="A70" s="380" t="s">
        <v>900</v>
      </c>
      <c r="B70" s="400" t="s">
        <v>902</v>
      </c>
      <c r="C70" s="395" t="s">
        <v>1072</v>
      </c>
      <c r="D70" s="395" t="s">
        <v>621</v>
      </c>
      <c r="E70" s="395" t="s">
        <v>621</v>
      </c>
      <c r="F70" s="395" t="s">
        <v>621</v>
      </c>
      <c r="G70" s="395" t="s">
        <v>621</v>
      </c>
      <c r="H70" s="395" t="s">
        <v>621</v>
      </c>
      <c r="I70" s="395" t="s">
        <v>621</v>
      </c>
      <c r="J70" s="395" t="s">
        <v>621</v>
      </c>
      <c r="K70" s="395" t="s">
        <v>621</v>
      </c>
      <c r="L70" s="395" t="s">
        <v>621</v>
      </c>
      <c r="M70" s="395" t="s">
        <v>621</v>
      </c>
      <c r="N70" s="395" t="s">
        <v>621</v>
      </c>
      <c r="O70" s="395" t="s">
        <v>621</v>
      </c>
      <c r="P70" s="395" t="s">
        <v>621</v>
      </c>
      <c r="Q70" s="395" t="s">
        <v>621</v>
      </c>
      <c r="R70" s="395" t="s">
        <v>621</v>
      </c>
      <c r="S70" s="385" t="s">
        <v>621</v>
      </c>
      <c r="T70" s="395" t="s">
        <v>621</v>
      </c>
      <c r="U70" s="395" t="s">
        <v>621</v>
      </c>
      <c r="V70" s="395" t="s">
        <v>621</v>
      </c>
      <c r="W70" s="395" t="s">
        <v>621</v>
      </c>
      <c r="X70" s="395" t="s">
        <v>621</v>
      </c>
      <c r="Y70" s="395" t="s">
        <v>621</v>
      </c>
      <c r="Z70" s="395" t="s">
        <v>621</v>
      </c>
      <c r="AA70" s="395" t="s">
        <v>621</v>
      </c>
      <c r="AB70" s="395" t="s">
        <v>621</v>
      </c>
      <c r="AC70" s="395" t="s">
        <v>621</v>
      </c>
      <c r="AD70" s="395" t="s">
        <v>621</v>
      </c>
      <c r="AE70" s="395" t="s">
        <v>621</v>
      </c>
      <c r="AF70" s="395" t="s">
        <v>621</v>
      </c>
      <c r="AG70" s="395" t="s">
        <v>621</v>
      </c>
      <c r="AH70" s="395" t="s">
        <v>621</v>
      </c>
      <c r="AI70" s="395" t="s">
        <v>621</v>
      </c>
      <c r="AJ70" s="395" t="s">
        <v>621</v>
      </c>
      <c r="AK70" s="395" t="s">
        <v>621</v>
      </c>
      <c r="AL70" s="395" t="s">
        <v>621</v>
      </c>
      <c r="AM70" s="395" t="s">
        <v>621</v>
      </c>
      <c r="AN70" s="395" t="s">
        <v>621</v>
      </c>
      <c r="AO70" s="395" t="s">
        <v>621</v>
      </c>
      <c r="AP70" s="395" t="s">
        <v>621</v>
      </c>
      <c r="AQ70" s="395" t="s">
        <v>621</v>
      </c>
      <c r="AR70" s="395" t="s">
        <v>621</v>
      </c>
      <c r="AS70" s="395" t="s">
        <v>621</v>
      </c>
      <c r="AT70" s="395" t="s">
        <v>621</v>
      </c>
      <c r="AU70" s="395" t="s">
        <v>621</v>
      </c>
      <c r="AV70" s="395" t="s">
        <v>621</v>
      </c>
      <c r="AW70" s="395" t="s">
        <v>621</v>
      </c>
      <c r="AX70" s="395" t="s">
        <v>621</v>
      </c>
      <c r="AY70" s="395" t="s">
        <v>621</v>
      </c>
      <c r="AZ70" s="395" t="s">
        <v>621</v>
      </c>
      <c r="BA70" s="395" t="s">
        <v>621</v>
      </c>
      <c r="BB70" s="395" t="s">
        <v>621</v>
      </c>
      <c r="BC70" s="395" t="s">
        <v>621</v>
      </c>
      <c r="BD70" s="395" t="s">
        <v>621</v>
      </c>
      <c r="BE70" s="395" t="s">
        <v>621</v>
      </c>
      <c r="BF70" s="395" t="s">
        <v>621</v>
      </c>
      <c r="BG70" s="395" t="s">
        <v>621</v>
      </c>
      <c r="BH70" s="395" t="s">
        <v>621</v>
      </c>
      <c r="BI70" s="395" t="s">
        <v>621</v>
      </c>
      <c r="BJ70" s="395" t="s">
        <v>621</v>
      </c>
      <c r="BK70" s="395" t="s">
        <v>621</v>
      </c>
      <c r="BL70" s="395" t="s">
        <v>825</v>
      </c>
      <c r="BM70" s="395" t="s">
        <v>621</v>
      </c>
      <c r="BN70" s="395" t="s">
        <v>621</v>
      </c>
      <c r="BO70" s="395" t="s">
        <v>621</v>
      </c>
      <c r="BP70" s="395" t="s">
        <v>621</v>
      </c>
      <c r="BQ70" s="395">
        <f>'Ф1 2024'!L68</f>
        <v>23</v>
      </c>
      <c r="BR70" s="395" t="s">
        <v>825</v>
      </c>
      <c r="BS70" s="395" t="s">
        <v>621</v>
      </c>
      <c r="BT70" s="395" t="s">
        <v>621</v>
      </c>
      <c r="BU70" s="395" t="s">
        <v>621</v>
      </c>
      <c r="BV70" s="395" t="s">
        <v>621</v>
      </c>
      <c r="BW70" s="395">
        <v>23</v>
      </c>
      <c r="BX70" s="415" t="s">
        <v>621</v>
      </c>
    </row>
    <row r="71" spans="1:76" s="416" customFormat="1" ht="52.5" x14ac:dyDescent="0.25">
      <c r="A71" s="380" t="s">
        <v>919</v>
      </c>
      <c r="B71" s="400" t="s">
        <v>917</v>
      </c>
      <c r="C71" s="395" t="s">
        <v>1073</v>
      </c>
      <c r="D71" s="395" t="s">
        <v>621</v>
      </c>
      <c r="E71" s="395" t="s">
        <v>621</v>
      </c>
      <c r="F71" s="395" t="s">
        <v>621</v>
      </c>
      <c r="G71" s="395" t="s">
        <v>621</v>
      </c>
      <c r="H71" s="395" t="s">
        <v>621</v>
      </c>
      <c r="I71" s="395" t="s">
        <v>621</v>
      </c>
      <c r="J71" s="395" t="s">
        <v>621</v>
      </c>
      <c r="K71" s="395" t="s">
        <v>621</v>
      </c>
      <c r="L71" s="395" t="s">
        <v>621</v>
      </c>
      <c r="M71" s="395" t="s">
        <v>621</v>
      </c>
      <c r="N71" s="395" t="s">
        <v>621</v>
      </c>
      <c r="O71" s="395" t="s">
        <v>621</v>
      </c>
      <c r="P71" s="395" t="s">
        <v>621</v>
      </c>
      <c r="Q71" s="395" t="s">
        <v>621</v>
      </c>
      <c r="R71" s="395" t="s">
        <v>621</v>
      </c>
      <c r="S71" s="385" t="s">
        <v>621</v>
      </c>
      <c r="T71" s="395" t="s">
        <v>621</v>
      </c>
      <c r="U71" s="395" t="s">
        <v>621</v>
      </c>
      <c r="V71" s="395" t="s">
        <v>621</v>
      </c>
      <c r="W71" s="395" t="s">
        <v>621</v>
      </c>
      <c r="X71" s="395" t="s">
        <v>621</v>
      </c>
      <c r="Y71" s="395" t="s">
        <v>621</v>
      </c>
      <c r="Z71" s="395" t="s">
        <v>621</v>
      </c>
      <c r="AA71" s="395" t="s">
        <v>621</v>
      </c>
      <c r="AB71" s="395" t="s">
        <v>621</v>
      </c>
      <c r="AC71" s="395" t="s">
        <v>621</v>
      </c>
      <c r="AD71" s="395" t="s">
        <v>621</v>
      </c>
      <c r="AE71" s="395" t="s">
        <v>621</v>
      </c>
      <c r="AF71" s="395" t="s">
        <v>621</v>
      </c>
      <c r="AG71" s="395" t="s">
        <v>621</v>
      </c>
      <c r="AH71" s="395" t="s">
        <v>621</v>
      </c>
      <c r="AI71" s="395" t="s">
        <v>621</v>
      </c>
      <c r="AJ71" s="395" t="s">
        <v>621</v>
      </c>
      <c r="AK71" s="395" t="s">
        <v>621</v>
      </c>
      <c r="AL71" s="395" t="s">
        <v>621</v>
      </c>
      <c r="AM71" s="395" t="s">
        <v>621</v>
      </c>
      <c r="AN71" s="395" t="s">
        <v>621</v>
      </c>
      <c r="AO71" s="395" t="s">
        <v>621</v>
      </c>
      <c r="AP71" s="395" t="s">
        <v>621</v>
      </c>
      <c r="AQ71" s="395" t="s">
        <v>621</v>
      </c>
      <c r="AR71" s="395" t="s">
        <v>621</v>
      </c>
      <c r="AS71" s="395" t="s">
        <v>621</v>
      </c>
      <c r="AT71" s="395" t="s">
        <v>621</v>
      </c>
      <c r="AU71" s="395" t="s">
        <v>621</v>
      </c>
      <c r="AV71" s="395" t="s">
        <v>621</v>
      </c>
      <c r="AW71" s="395" t="s">
        <v>621</v>
      </c>
      <c r="AX71" s="395" t="s">
        <v>621</v>
      </c>
      <c r="AY71" s="395" t="s">
        <v>621</v>
      </c>
      <c r="AZ71" s="395" t="s">
        <v>621</v>
      </c>
      <c r="BA71" s="395" t="s">
        <v>621</v>
      </c>
      <c r="BB71" s="395" t="s">
        <v>621</v>
      </c>
      <c r="BC71" s="395" t="s">
        <v>621</v>
      </c>
      <c r="BD71" s="395" t="s">
        <v>621</v>
      </c>
      <c r="BE71" s="395" t="s">
        <v>621</v>
      </c>
      <c r="BF71" s="395" t="s">
        <v>621</v>
      </c>
      <c r="BG71" s="395" t="s">
        <v>621</v>
      </c>
      <c r="BH71" s="395" t="s">
        <v>621</v>
      </c>
      <c r="BI71" s="395" t="s">
        <v>621</v>
      </c>
      <c r="BJ71" s="395" t="s">
        <v>621</v>
      </c>
      <c r="BK71" s="395" t="s">
        <v>621</v>
      </c>
      <c r="BL71" s="395" t="s">
        <v>825</v>
      </c>
      <c r="BM71" s="395" t="s">
        <v>621</v>
      </c>
      <c r="BN71" s="395" t="s">
        <v>621</v>
      </c>
      <c r="BO71" s="395" t="s">
        <v>621</v>
      </c>
      <c r="BP71" s="395" t="s">
        <v>621</v>
      </c>
      <c r="BQ71" s="395">
        <v>13</v>
      </c>
      <c r="BR71" s="395" t="s">
        <v>825</v>
      </c>
      <c r="BS71" s="395" t="s">
        <v>621</v>
      </c>
      <c r="BT71" s="395" t="s">
        <v>621</v>
      </c>
      <c r="BU71" s="395" t="s">
        <v>621</v>
      </c>
      <c r="BV71" s="395" t="s">
        <v>621</v>
      </c>
      <c r="BW71" s="395">
        <v>13</v>
      </c>
      <c r="BX71" s="415" t="s">
        <v>621</v>
      </c>
    </row>
    <row r="72" spans="1:76" ht="57.75" customHeight="1" x14ac:dyDescent="0.35">
      <c r="A72" s="380" t="s">
        <v>920</v>
      </c>
      <c r="B72" s="973" t="s">
        <v>1717</v>
      </c>
      <c r="C72" s="630" t="s">
        <v>1735</v>
      </c>
      <c r="D72" s="395" t="s">
        <v>621</v>
      </c>
      <c r="E72" s="395" t="s">
        <v>621</v>
      </c>
      <c r="F72" s="395" t="s">
        <v>621</v>
      </c>
      <c r="G72" s="395" t="s">
        <v>621</v>
      </c>
      <c r="H72" s="395" t="s">
        <v>621</v>
      </c>
      <c r="I72" s="395" t="s">
        <v>621</v>
      </c>
      <c r="J72" s="395" t="s">
        <v>621</v>
      </c>
      <c r="K72" s="395" t="s">
        <v>621</v>
      </c>
      <c r="L72" s="395" t="s">
        <v>621</v>
      </c>
      <c r="M72" s="395" t="s">
        <v>621</v>
      </c>
      <c r="N72" s="395" t="s">
        <v>621</v>
      </c>
      <c r="O72" s="395" t="s">
        <v>621</v>
      </c>
      <c r="P72" s="395" t="s">
        <v>621</v>
      </c>
      <c r="Q72" s="395" t="s">
        <v>621</v>
      </c>
      <c r="R72" s="395" t="s">
        <v>621</v>
      </c>
      <c r="S72" s="385" t="s">
        <v>621</v>
      </c>
      <c r="T72" s="395" t="s">
        <v>621</v>
      </c>
      <c r="U72" s="395" t="s">
        <v>621</v>
      </c>
      <c r="V72" s="395" t="s">
        <v>621</v>
      </c>
      <c r="W72" s="395" t="s">
        <v>621</v>
      </c>
      <c r="X72" s="395" t="s">
        <v>621</v>
      </c>
      <c r="Y72" s="395" t="s">
        <v>621</v>
      </c>
      <c r="Z72" s="395" t="s">
        <v>621</v>
      </c>
      <c r="AA72" s="395" t="s">
        <v>621</v>
      </c>
      <c r="AB72" s="395" t="s">
        <v>621</v>
      </c>
      <c r="AC72" s="395" t="s">
        <v>621</v>
      </c>
      <c r="AD72" s="395" t="s">
        <v>621</v>
      </c>
      <c r="AE72" s="395" t="s">
        <v>621</v>
      </c>
      <c r="AF72" s="395" t="s">
        <v>621</v>
      </c>
      <c r="AG72" s="395" t="s">
        <v>621</v>
      </c>
      <c r="AH72" s="395" t="s">
        <v>621</v>
      </c>
      <c r="AI72" s="395" t="s">
        <v>621</v>
      </c>
      <c r="AJ72" s="395" t="s">
        <v>621</v>
      </c>
      <c r="AK72" s="395" t="s">
        <v>621</v>
      </c>
      <c r="AL72" s="395" t="s">
        <v>621</v>
      </c>
      <c r="AM72" s="395" t="s">
        <v>621</v>
      </c>
      <c r="AN72" s="395" t="s">
        <v>621</v>
      </c>
      <c r="AO72" s="395" t="s">
        <v>621</v>
      </c>
      <c r="AP72" s="395" t="s">
        <v>621</v>
      </c>
      <c r="AQ72" s="395" t="s">
        <v>621</v>
      </c>
      <c r="AR72" s="395" t="s">
        <v>621</v>
      </c>
      <c r="AS72" s="395" t="s">
        <v>621</v>
      </c>
      <c r="AT72" s="395" t="s">
        <v>825</v>
      </c>
      <c r="AU72" s="395" t="s">
        <v>621</v>
      </c>
      <c r="AV72" s="395" t="s">
        <v>621</v>
      </c>
      <c r="AW72" s="395" t="s">
        <v>621</v>
      </c>
      <c r="AX72" s="395">
        <v>11</v>
      </c>
      <c r="AY72" s="395" t="s">
        <v>621</v>
      </c>
      <c r="AZ72" s="395" t="s">
        <v>621</v>
      </c>
      <c r="BA72" s="395" t="s">
        <v>621</v>
      </c>
      <c r="BB72" s="395" t="s">
        <v>621</v>
      </c>
      <c r="BC72" s="395" t="s">
        <v>621</v>
      </c>
      <c r="BD72" s="395" t="s">
        <v>621</v>
      </c>
      <c r="BE72" s="395" t="s">
        <v>621</v>
      </c>
      <c r="BF72" s="395" t="s">
        <v>621</v>
      </c>
      <c r="BG72" s="395" t="s">
        <v>621</v>
      </c>
      <c r="BH72" s="395" t="s">
        <v>621</v>
      </c>
      <c r="BI72" s="395" t="s">
        <v>621</v>
      </c>
      <c r="BJ72" s="395" t="s">
        <v>621</v>
      </c>
      <c r="BK72" s="395" t="s">
        <v>621</v>
      </c>
      <c r="BL72" s="395" t="s">
        <v>621</v>
      </c>
      <c r="BM72" s="395" t="s">
        <v>621</v>
      </c>
      <c r="BN72" s="395" t="s">
        <v>621</v>
      </c>
      <c r="BO72" s="395" t="s">
        <v>621</v>
      </c>
      <c r="BP72" s="395" t="s">
        <v>621</v>
      </c>
      <c r="BQ72" s="395" t="s">
        <v>621</v>
      </c>
      <c r="BR72" s="395" t="s">
        <v>621</v>
      </c>
      <c r="BS72" s="395" t="s">
        <v>621</v>
      </c>
      <c r="BT72" s="395" t="s">
        <v>621</v>
      </c>
      <c r="BU72" s="395" t="s">
        <v>621</v>
      </c>
      <c r="BV72" s="395" t="s">
        <v>621</v>
      </c>
      <c r="BW72" s="395" t="s">
        <v>621</v>
      </c>
      <c r="BX72" s="395" t="s">
        <v>621</v>
      </c>
    </row>
    <row r="73" spans="1:76" ht="52.5" customHeight="1" x14ac:dyDescent="0.35">
      <c r="A73" s="380" t="s">
        <v>921</v>
      </c>
      <c r="B73" s="973" t="s">
        <v>1718</v>
      </c>
      <c r="C73" s="630" t="s">
        <v>1731</v>
      </c>
      <c r="D73" s="395" t="s">
        <v>621</v>
      </c>
      <c r="E73" s="395" t="s">
        <v>621</v>
      </c>
      <c r="F73" s="395" t="s">
        <v>621</v>
      </c>
      <c r="G73" s="395" t="s">
        <v>621</v>
      </c>
      <c r="H73" s="395" t="s">
        <v>621</v>
      </c>
      <c r="I73" s="395" t="s">
        <v>621</v>
      </c>
      <c r="J73" s="395" t="s">
        <v>621</v>
      </c>
      <c r="K73" s="395" t="s">
        <v>621</v>
      </c>
      <c r="L73" s="395" t="s">
        <v>621</v>
      </c>
      <c r="M73" s="395" t="s">
        <v>621</v>
      </c>
      <c r="N73" s="395" t="s">
        <v>621</v>
      </c>
      <c r="O73" s="395" t="s">
        <v>621</v>
      </c>
      <c r="P73" s="395" t="s">
        <v>621</v>
      </c>
      <c r="Q73" s="395" t="s">
        <v>621</v>
      </c>
      <c r="R73" s="395" t="s">
        <v>621</v>
      </c>
      <c r="S73" s="385" t="s">
        <v>621</v>
      </c>
      <c r="T73" s="395" t="s">
        <v>621</v>
      </c>
      <c r="U73" s="395" t="s">
        <v>621</v>
      </c>
      <c r="V73" s="395" t="s">
        <v>621</v>
      </c>
      <c r="W73" s="395" t="s">
        <v>621</v>
      </c>
      <c r="X73" s="395" t="s">
        <v>621</v>
      </c>
      <c r="Y73" s="395" t="s">
        <v>621</v>
      </c>
      <c r="Z73" s="395" t="s">
        <v>621</v>
      </c>
      <c r="AA73" s="395" t="s">
        <v>621</v>
      </c>
      <c r="AB73" s="395" t="s">
        <v>621</v>
      </c>
      <c r="AC73" s="395" t="s">
        <v>621</v>
      </c>
      <c r="AD73" s="395" t="s">
        <v>621</v>
      </c>
      <c r="AE73" s="395" t="s">
        <v>621</v>
      </c>
      <c r="AF73" s="395" t="s">
        <v>621</v>
      </c>
      <c r="AG73" s="395" t="s">
        <v>621</v>
      </c>
      <c r="AH73" s="395" t="s">
        <v>621</v>
      </c>
      <c r="AI73" s="395" t="s">
        <v>621</v>
      </c>
      <c r="AJ73" s="395" t="s">
        <v>621</v>
      </c>
      <c r="AK73" s="395" t="s">
        <v>621</v>
      </c>
      <c r="AL73" s="395" t="s">
        <v>621</v>
      </c>
      <c r="AM73" s="395" t="s">
        <v>621</v>
      </c>
      <c r="AN73" s="395" t="s">
        <v>621</v>
      </c>
      <c r="AO73" s="395" t="s">
        <v>621</v>
      </c>
      <c r="AP73" s="395" t="s">
        <v>621</v>
      </c>
      <c r="AQ73" s="395" t="s">
        <v>621</v>
      </c>
      <c r="AR73" s="395" t="s">
        <v>621</v>
      </c>
      <c r="AS73" s="395"/>
      <c r="AT73" s="395" t="s">
        <v>825</v>
      </c>
      <c r="AU73" s="395">
        <v>1.26</v>
      </c>
      <c r="AV73" s="395" t="s">
        <v>621</v>
      </c>
      <c r="AW73" s="395" t="s">
        <v>621</v>
      </c>
      <c r="AX73" s="395" t="s">
        <v>621</v>
      </c>
      <c r="AY73" s="395" t="s">
        <v>621</v>
      </c>
      <c r="AZ73" s="395" t="s">
        <v>621</v>
      </c>
      <c r="BA73" s="395" t="s">
        <v>621</v>
      </c>
      <c r="BB73" s="395" t="s">
        <v>621</v>
      </c>
      <c r="BC73" s="395" t="s">
        <v>621</v>
      </c>
      <c r="BD73" s="395" t="s">
        <v>621</v>
      </c>
      <c r="BE73" s="395" t="s">
        <v>621</v>
      </c>
      <c r="BF73" s="395" t="s">
        <v>621</v>
      </c>
      <c r="BG73" s="395" t="s">
        <v>621</v>
      </c>
      <c r="BH73" s="395" t="s">
        <v>621</v>
      </c>
      <c r="BI73" s="395" t="s">
        <v>621</v>
      </c>
      <c r="BJ73" s="395" t="s">
        <v>621</v>
      </c>
      <c r="BK73" s="395" t="s">
        <v>621</v>
      </c>
      <c r="BL73" s="395" t="s">
        <v>621</v>
      </c>
      <c r="BM73" s="395" t="s">
        <v>621</v>
      </c>
      <c r="BN73" s="395" t="s">
        <v>621</v>
      </c>
      <c r="BO73" s="395" t="s">
        <v>621</v>
      </c>
      <c r="BP73" s="395" t="s">
        <v>621</v>
      </c>
      <c r="BQ73" s="395" t="s">
        <v>621</v>
      </c>
      <c r="BR73" s="395" t="s">
        <v>621</v>
      </c>
      <c r="BS73" s="395" t="s">
        <v>621</v>
      </c>
      <c r="BT73" s="395" t="s">
        <v>621</v>
      </c>
      <c r="BU73" s="395" t="s">
        <v>621</v>
      </c>
      <c r="BV73" s="395" t="s">
        <v>621</v>
      </c>
      <c r="BW73" s="395" t="s">
        <v>621</v>
      </c>
      <c r="BX73" s="395" t="s">
        <v>621</v>
      </c>
    </row>
    <row r="74" spans="1:76" ht="52.5" x14ac:dyDescent="0.35">
      <c r="A74" s="386" t="s">
        <v>741</v>
      </c>
      <c r="B74" s="398" t="s">
        <v>1653</v>
      </c>
      <c r="C74" s="299" t="s">
        <v>621</v>
      </c>
      <c r="D74" s="305" t="s">
        <v>621</v>
      </c>
      <c r="E74" s="305" t="s">
        <v>621</v>
      </c>
      <c r="F74" s="305" t="s">
        <v>621</v>
      </c>
      <c r="G74" s="305" t="s">
        <v>621</v>
      </c>
      <c r="H74" s="305" t="s">
        <v>621</v>
      </c>
      <c r="I74" s="305" t="s">
        <v>621</v>
      </c>
      <c r="J74" s="305" t="s">
        <v>621</v>
      </c>
      <c r="K74" s="305" t="s">
        <v>621</v>
      </c>
      <c r="L74" s="305" t="s">
        <v>621</v>
      </c>
      <c r="M74" s="305" t="s">
        <v>621</v>
      </c>
      <c r="N74" s="305" t="s">
        <v>621</v>
      </c>
      <c r="O74" s="305" t="s">
        <v>621</v>
      </c>
      <c r="P74" s="305" t="s">
        <v>621</v>
      </c>
      <c r="Q74" s="305" t="s">
        <v>621</v>
      </c>
      <c r="R74" s="305" t="s">
        <v>621</v>
      </c>
      <c r="S74" s="305" t="s">
        <v>621</v>
      </c>
      <c r="T74" s="305" t="s">
        <v>621</v>
      </c>
      <c r="U74" s="305" t="s">
        <v>621</v>
      </c>
      <c r="V74" s="305" t="s">
        <v>621</v>
      </c>
      <c r="W74" s="305" t="s">
        <v>621</v>
      </c>
      <c r="X74" s="305" t="s">
        <v>621</v>
      </c>
      <c r="Y74" s="305" t="s">
        <v>621</v>
      </c>
      <c r="Z74" s="305" t="s">
        <v>621</v>
      </c>
      <c r="AA74" s="305" t="s">
        <v>621</v>
      </c>
      <c r="AB74" s="305" t="s">
        <v>621</v>
      </c>
      <c r="AC74" s="305" t="s">
        <v>621</v>
      </c>
      <c r="AD74" s="305" t="s">
        <v>621</v>
      </c>
      <c r="AE74" s="305" t="s">
        <v>621</v>
      </c>
      <c r="AF74" s="305" t="s">
        <v>621</v>
      </c>
      <c r="AG74" s="305" t="s">
        <v>621</v>
      </c>
      <c r="AH74" s="305" t="s">
        <v>621</v>
      </c>
      <c r="AI74" s="305" t="s">
        <v>621</v>
      </c>
      <c r="AJ74" s="305" t="s">
        <v>621</v>
      </c>
      <c r="AK74" s="305" t="s">
        <v>621</v>
      </c>
      <c r="AL74" s="305" t="s">
        <v>621</v>
      </c>
      <c r="AM74" s="305" t="s">
        <v>621</v>
      </c>
      <c r="AN74" s="305" t="s">
        <v>621</v>
      </c>
      <c r="AO74" s="305" t="s">
        <v>621</v>
      </c>
      <c r="AP74" s="305" t="s">
        <v>621</v>
      </c>
      <c r="AQ74" s="305" t="s">
        <v>621</v>
      </c>
      <c r="AR74" s="305" t="s">
        <v>621</v>
      </c>
      <c r="AS74" s="305" t="s">
        <v>621</v>
      </c>
      <c r="AT74" s="305" t="s">
        <v>621</v>
      </c>
      <c r="AU74" s="305" t="s">
        <v>621</v>
      </c>
      <c r="AV74" s="305" t="s">
        <v>621</v>
      </c>
      <c r="AW74" s="305" t="s">
        <v>621</v>
      </c>
      <c r="AX74" s="305" t="s">
        <v>621</v>
      </c>
      <c r="AY74" s="305" t="s">
        <v>621</v>
      </c>
      <c r="AZ74" s="305" t="s">
        <v>621</v>
      </c>
      <c r="BA74" s="305" t="s">
        <v>621</v>
      </c>
      <c r="BB74" s="305" t="s">
        <v>621</v>
      </c>
      <c r="BC74" s="305" t="s">
        <v>621</v>
      </c>
      <c r="BD74" s="305" t="s">
        <v>621</v>
      </c>
      <c r="BE74" s="305" t="s">
        <v>621</v>
      </c>
      <c r="BF74" s="305" t="s">
        <v>621</v>
      </c>
      <c r="BG74" s="305" t="s">
        <v>621</v>
      </c>
      <c r="BH74" s="305" t="s">
        <v>621</v>
      </c>
      <c r="BI74" s="305" t="s">
        <v>621</v>
      </c>
      <c r="BJ74" s="305" t="s">
        <v>621</v>
      </c>
      <c r="BK74" s="305" t="s">
        <v>621</v>
      </c>
      <c r="BL74" s="305" t="s">
        <v>621</v>
      </c>
      <c r="BM74" s="305" t="s">
        <v>621</v>
      </c>
      <c r="BN74" s="305" t="s">
        <v>621</v>
      </c>
      <c r="BO74" s="305" t="s">
        <v>621</v>
      </c>
      <c r="BP74" s="305" t="s">
        <v>621</v>
      </c>
      <c r="BQ74" s="305" t="s">
        <v>621</v>
      </c>
      <c r="BR74" s="305" t="s">
        <v>621</v>
      </c>
      <c r="BS74" s="305" t="s">
        <v>621</v>
      </c>
      <c r="BT74" s="305" t="s">
        <v>621</v>
      </c>
      <c r="BU74" s="305" t="s">
        <v>621</v>
      </c>
      <c r="BV74" s="305" t="s">
        <v>621</v>
      </c>
      <c r="BW74" s="305" t="s">
        <v>621</v>
      </c>
      <c r="BX74" s="305" t="s">
        <v>621</v>
      </c>
    </row>
    <row r="75" spans="1:76" ht="78.75" x14ac:dyDescent="0.35">
      <c r="A75" s="380" t="s">
        <v>741</v>
      </c>
      <c r="B75" s="666" t="s">
        <v>1654</v>
      </c>
      <c r="C75" s="667" t="str">
        <f>CONCATENATE("J","_",2021,"_",A75)</f>
        <v>J_2021_1.6</v>
      </c>
      <c r="D75" s="395" t="s">
        <v>621</v>
      </c>
      <c r="E75" s="395" t="s">
        <v>621</v>
      </c>
      <c r="F75" s="395" t="s">
        <v>621</v>
      </c>
      <c r="G75" s="395" t="s">
        <v>621</v>
      </c>
      <c r="H75" s="395" t="s">
        <v>621</v>
      </c>
      <c r="I75" s="395" t="s">
        <v>621</v>
      </c>
      <c r="J75" s="395" t="s">
        <v>621</v>
      </c>
      <c r="K75" s="395" t="s">
        <v>621</v>
      </c>
      <c r="L75" s="395" t="s">
        <v>621</v>
      </c>
      <c r="M75" s="395" t="s">
        <v>621</v>
      </c>
      <c r="N75" s="395" t="s">
        <v>621</v>
      </c>
      <c r="O75" s="395" t="s">
        <v>621</v>
      </c>
      <c r="P75" s="395" t="s">
        <v>621</v>
      </c>
      <c r="Q75" s="395" t="s">
        <v>621</v>
      </c>
      <c r="R75" s="395" t="s">
        <v>621</v>
      </c>
      <c r="S75" s="395" t="s">
        <v>621</v>
      </c>
      <c r="T75" s="395" t="s">
        <v>621</v>
      </c>
      <c r="U75" s="395" t="s">
        <v>621</v>
      </c>
      <c r="V75" s="395" t="s">
        <v>621</v>
      </c>
      <c r="W75" s="395" t="s">
        <v>621</v>
      </c>
      <c r="X75" s="395" t="s">
        <v>621</v>
      </c>
      <c r="Y75" s="395" t="s">
        <v>621</v>
      </c>
      <c r="Z75" s="395" t="s">
        <v>621</v>
      </c>
      <c r="AA75" s="395" t="s">
        <v>621</v>
      </c>
      <c r="AB75" s="395" t="s">
        <v>621</v>
      </c>
      <c r="AC75" s="395" t="s">
        <v>621</v>
      </c>
      <c r="AD75" s="395" t="s">
        <v>621</v>
      </c>
      <c r="AE75" s="395" t="s">
        <v>621</v>
      </c>
      <c r="AF75" s="395" t="s">
        <v>621</v>
      </c>
      <c r="AG75" s="395" t="s">
        <v>621</v>
      </c>
      <c r="AH75" s="395" t="s">
        <v>621</v>
      </c>
      <c r="AI75" s="395" t="s">
        <v>621</v>
      </c>
      <c r="AJ75" s="395" t="s">
        <v>621</v>
      </c>
      <c r="AK75" s="395" t="s">
        <v>621</v>
      </c>
      <c r="AL75" s="395" t="s">
        <v>621</v>
      </c>
      <c r="AM75" s="395" t="s">
        <v>621</v>
      </c>
      <c r="AN75" s="395" t="s">
        <v>621</v>
      </c>
      <c r="AO75" s="395" t="s">
        <v>621</v>
      </c>
      <c r="AP75" s="395" t="s">
        <v>621</v>
      </c>
      <c r="AQ75" s="395" t="s">
        <v>621</v>
      </c>
      <c r="AR75" s="395" t="s">
        <v>621</v>
      </c>
      <c r="AS75" s="395" t="s">
        <v>621</v>
      </c>
      <c r="AT75" s="395" t="s">
        <v>621</v>
      </c>
      <c r="AU75" s="395" t="s">
        <v>621</v>
      </c>
      <c r="AV75" s="395" t="s">
        <v>621</v>
      </c>
      <c r="AW75" s="395" t="s">
        <v>621</v>
      </c>
      <c r="AX75" s="395" t="s">
        <v>621</v>
      </c>
      <c r="AY75" s="395" t="s">
        <v>621</v>
      </c>
      <c r="AZ75" s="395" t="s">
        <v>621</v>
      </c>
      <c r="BA75" s="395" t="s">
        <v>621</v>
      </c>
      <c r="BB75" s="395" t="s">
        <v>621</v>
      </c>
      <c r="BC75" s="395" t="s">
        <v>621</v>
      </c>
      <c r="BD75" s="395" t="s">
        <v>621</v>
      </c>
      <c r="BE75" s="395" t="s">
        <v>621</v>
      </c>
      <c r="BF75" s="395" t="s">
        <v>621</v>
      </c>
      <c r="BG75" s="395" t="s">
        <v>621</v>
      </c>
      <c r="BH75" s="395" t="s">
        <v>621</v>
      </c>
      <c r="BI75" s="395" t="s">
        <v>621</v>
      </c>
      <c r="BJ75" s="395" t="s">
        <v>621</v>
      </c>
      <c r="BK75" s="395" t="s">
        <v>621</v>
      </c>
      <c r="BL75" s="395" t="s">
        <v>621</v>
      </c>
      <c r="BM75" s="395" t="s">
        <v>621</v>
      </c>
      <c r="BN75" s="395" t="s">
        <v>621</v>
      </c>
      <c r="BO75" s="395" t="s">
        <v>621</v>
      </c>
      <c r="BP75" s="395" t="s">
        <v>621</v>
      </c>
      <c r="BQ75" s="395" t="s">
        <v>621</v>
      </c>
      <c r="BR75" s="395" t="s">
        <v>621</v>
      </c>
      <c r="BS75" s="395" t="s">
        <v>621</v>
      </c>
      <c r="BT75" s="395" t="s">
        <v>621</v>
      </c>
      <c r="BU75" s="395" t="s">
        <v>621</v>
      </c>
      <c r="BV75" s="395" t="s">
        <v>621</v>
      </c>
      <c r="BW75" s="395" t="s">
        <v>621</v>
      </c>
      <c r="BX75" s="395" t="s">
        <v>621</v>
      </c>
    </row>
    <row r="76" spans="1:76" s="422" customFormat="1" ht="180" customHeight="1" x14ac:dyDescent="0.4">
      <c r="B76" s="389" t="s">
        <v>1746</v>
      </c>
      <c r="C76" s="389"/>
      <c r="D76" s="389"/>
      <c r="E76" s="389"/>
      <c r="F76" s="389"/>
      <c r="G76" s="389"/>
      <c r="I76" s="389"/>
      <c r="AE76" s="423"/>
      <c r="AI76" s="389" t="s">
        <v>1652</v>
      </c>
      <c r="AQ76" s="423"/>
      <c r="BC76" s="423"/>
    </row>
  </sheetData>
  <mergeCells count="38">
    <mergeCell ref="A4:AS4"/>
    <mergeCell ref="A6:AS6"/>
    <mergeCell ref="AZ17:BE17"/>
    <mergeCell ref="BF17:BK17"/>
    <mergeCell ref="BL17:BQ17"/>
    <mergeCell ref="AB15:AM16"/>
    <mergeCell ref="AB17:AG17"/>
    <mergeCell ref="AH17:AM17"/>
    <mergeCell ref="P17:U17"/>
    <mergeCell ref="P15:AA16"/>
    <mergeCell ref="C14:C18"/>
    <mergeCell ref="B14:B18"/>
    <mergeCell ref="A14:A18"/>
    <mergeCell ref="A11:AS11"/>
    <mergeCell ref="A12:AS12"/>
    <mergeCell ref="BR17:BW17"/>
    <mergeCell ref="P14:BW14"/>
    <mergeCell ref="A7:AS7"/>
    <mergeCell ref="A9:AS9"/>
    <mergeCell ref="D17:I17"/>
    <mergeCell ref="J17:O17"/>
    <mergeCell ref="D14:O16"/>
    <mergeCell ref="AZ15:BK16"/>
    <mergeCell ref="BL15:BW16"/>
    <mergeCell ref="A13:AY13"/>
    <mergeCell ref="AN17:AS17"/>
    <mergeCell ref="AT17:AY17"/>
    <mergeCell ref="AN15:AY16"/>
    <mergeCell ref="V17:AA17"/>
    <mergeCell ref="BX14:BX18"/>
    <mergeCell ref="DH17:DN17"/>
    <mergeCell ref="CT15:CZ16"/>
    <mergeCell ref="DA15:DG16"/>
    <mergeCell ref="DH15:DN16"/>
    <mergeCell ref="CM17:CS17"/>
    <mergeCell ref="CT17:CZ17"/>
    <mergeCell ref="DA17:DG17"/>
    <mergeCell ref="CM15:CS16"/>
  </mergeCells>
  <pageMargins left="0.70866141732283472" right="3.937007874015748E-2" top="0.74803149606299213" bottom="0" header="0.31496062992125984" footer="0.31496062992125984"/>
  <pageSetup paperSize="8" scale="28" fitToWidth="2" orientation="landscape" r:id="rId1"/>
  <rowBreaks count="1" manualBreakCount="1">
    <brk id="47" max="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L75"/>
  <sheetViews>
    <sheetView view="pageBreakPreview" topLeftCell="A12" zoomScale="55" zoomScaleNormal="70" zoomScaleSheetLayoutView="55" workbookViewId="0">
      <pane xSplit="3" ySplit="7" topLeftCell="BZ19" activePane="bottomRight" state="frozen"/>
      <selection activeCell="A12" sqref="A12"/>
      <selection pane="topRight" activeCell="D12" sqref="D12"/>
      <selection pane="bottomLeft" activeCell="A19" sqref="A19"/>
      <selection pane="bottomRight" activeCell="B46" sqref="B46"/>
    </sheetView>
  </sheetViews>
  <sheetFormatPr defaultRowHeight="20.25" x14ac:dyDescent="0.3"/>
  <cols>
    <col min="1" max="1" width="13.375" style="133" customWidth="1"/>
    <col min="2" max="2" width="65.875" style="133" customWidth="1"/>
    <col min="3" max="3" width="23.875" style="133" customWidth="1"/>
    <col min="4" max="4" width="10.375" style="133" customWidth="1"/>
    <col min="5" max="7" width="6" style="133" customWidth="1"/>
    <col min="8" max="8" width="18.875" style="133" customWidth="1"/>
    <col min="9" max="9" width="6" style="133" customWidth="1"/>
    <col min="10" max="10" width="14.625" style="133" customWidth="1"/>
    <col min="11" max="11" width="10.125" style="133" customWidth="1"/>
    <col min="12" max="14" width="6" style="133" customWidth="1"/>
    <col min="15" max="15" width="16.375" style="133" customWidth="1"/>
    <col min="16" max="16" width="6" style="133" customWidth="1"/>
    <col min="17" max="17" width="12.75" style="133" customWidth="1"/>
    <col min="18" max="31" width="6" style="133" customWidth="1"/>
    <col min="32" max="32" width="8.25" style="133" customWidth="1"/>
    <col min="33" max="35" width="6" style="133" customWidth="1"/>
    <col min="36" max="36" width="11.125" style="133" bestFit="1" customWidth="1"/>
    <col min="37" max="38" width="6" style="133" customWidth="1"/>
    <col min="39" max="39" width="11.375" style="133" customWidth="1"/>
    <col min="40" max="42" width="6" style="133" customWidth="1"/>
    <col min="43" max="43" width="13.875" style="133" customWidth="1"/>
    <col min="44" max="45" width="6" style="133" customWidth="1"/>
    <col min="46" max="46" width="10.125" style="133" customWidth="1"/>
    <col min="47" max="49" width="6" style="133" customWidth="1"/>
    <col min="50" max="50" width="12.25" style="133" bestFit="1" customWidth="1"/>
    <col min="51" max="51" width="6" style="133" customWidth="1"/>
    <col min="52" max="52" width="9.875" style="133" customWidth="1"/>
    <col min="53" max="53" width="9.75" style="133" customWidth="1"/>
    <col min="54" max="56" width="6" style="133" customWidth="1"/>
    <col min="57" max="57" width="10.125" style="133" customWidth="1"/>
    <col min="58" max="58" width="6" style="133" customWidth="1"/>
    <col min="59" max="59" width="9.875" style="133" customWidth="1"/>
    <col min="60" max="60" width="12" style="133" customWidth="1"/>
    <col min="61" max="63" width="6" style="133" customWidth="1"/>
    <col min="64" max="64" width="12.25" style="133" bestFit="1" customWidth="1"/>
    <col min="65" max="66" width="6" style="133" customWidth="1"/>
    <col min="67" max="67" width="11" style="133" customWidth="1"/>
    <col min="68" max="70" width="6" style="133" customWidth="1"/>
    <col min="71" max="71" width="11.375" style="133" customWidth="1"/>
    <col min="72" max="72" width="6" style="133" customWidth="1"/>
    <col min="73" max="73" width="8.5" style="133" customWidth="1"/>
    <col min="74" max="74" width="10.125" style="133" customWidth="1"/>
    <col min="75" max="77" width="6" style="133" customWidth="1"/>
    <col min="78" max="78" width="14.75" style="133" customWidth="1"/>
    <col min="79" max="80" width="6" style="133" customWidth="1"/>
    <col min="81" max="81" width="11" style="133" customWidth="1"/>
    <col min="82" max="84" width="6" style="133" customWidth="1"/>
    <col min="85" max="85" width="14.5" style="133" customWidth="1"/>
    <col min="86" max="86" width="6" style="133" customWidth="1"/>
    <col min="87" max="87" width="10.75" style="133" customWidth="1"/>
    <col min="88" max="91" width="6" style="133" customWidth="1"/>
    <col min="92" max="92" width="14.125" style="133" customWidth="1"/>
    <col min="93" max="98" width="6" style="133" customWidth="1"/>
    <col min="99" max="99" width="11.625" style="133" customWidth="1"/>
    <col min="100" max="100" width="6" style="133" customWidth="1"/>
    <col min="101" max="101" width="10.375" style="133" customWidth="1"/>
    <col min="102" max="102" width="15.375" style="133" customWidth="1"/>
    <col min="103" max="105" width="6" style="133" customWidth="1"/>
    <col min="106" max="106" width="14.75" style="133" customWidth="1"/>
    <col min="107" max="107" width="6" style="133" customWidth="1"/>
    <col min="108" max="108" width="12.625" style="133" customWidth="1"/>
    <col min="109" max="109" width="13" style="133" customWidth="1"/>
    <col min="110" max="112" width="6" style="133" customWidth="1"/>
    <col min="113" max="113" width="14.5" style="133" customWidth="1"/>
    <col min="114" max="114" width="6" style="133" customWidth="1"/>
    <col min="115" max="115" width="12.875" style="133" customWidth="1"/>
    <col min="116" max="116" width="21.5" style="133" customWidth="1"/>
    <col min="117" max="126" width="5" style="133" customWidth="1"/>
    <col min="127" max="16384" width="9" style="133"/>
  </cols>
  <sheetData>
    <row r="1" spans="1:116" x14ac:dyDescent="0.3">
      <c r="AF1" s="132"/>
      <c r="AG1" s="132"/>
      <c r="AH1" s="132"/>
      <c r="AI1" s="132"/>
      <c r="AJ1" s="132"/>
      <c r="AK1" s="132"/>
      <c r="AL1" s="132"/>
      <c r="AM1" s="132"/>
      <c r="AN1" s="132"/>
      <c r="AO1" s="132"/>
      <c r="AP1" s="132"/>
      <c r="AS1" s="138" t="s">
        <v>350</v>
      </c>
    </row>
    <row r="2" spans="1:116" x14ac:dyDescent="0.3">
      <c r="AF2" s="132"/>
      <c r="AG2" s="132"/>
      <c r="AH2" s="132"/>
      <c r="AI2" s="132"/>
      <c r="AJ2" s="132"/>
      <c r="AK2" s="132"/>
      <c r="AL2" s="132"/>
      <c r="AM2" s="132"/>
      <c r="AN2" s="132"/>
      <c r="AO2" s="132"/>
      <c r="AP2" s="132"/>
      <c r="AS2" s="140" t="s">
        <v>1</v>
      </c>
    </row>
    <row r="3" spans="1:116" x14ac:dyDescent="0.3">
      <c r="P3" s="339" t="s">
        <v>398</v>
      </c>
      <c r="AF3" s="132"/>
      <c r="AG3" s="132"/>
      <c r="AH3" s="132"/>
      <c r="AI3" s="132"/>
      <c r="AJ3" s="132"/>
      <c r="AK3" s="132"/>
      <c r="AL3" s="132"/>
      <c r="AM3" s="132"/>
      <c r="AN3" s="132"/>
      <c r="AO3" s="132"/>
      <c r="AP3" s="132"/>
      <c r="AS3" s="140" t="s">
        <v>265</v>
      </c>
    </row>
    <row r="4" spans="1:116" x14ac:dyDescent="0.3">
      <c r="B4" s="351"/>
      <c r="C4" s="351"/>
      <c r="D4" s="351"/>
      <c r="E4" s="351"/>
      <c r="F4" s="351"/>
      <c r="G4" s="351"/>
      <c r="H4" s="351"/>
      <c r="I4" s="351"/>
      <c r="K4" s="351"/>
      <c r="L4" s="351"/>
      <c r="M4" s="351"/>
      <c r="N4" s="351"/>
      <c r="O4" s="351"/>
      <c r="P4" s="335"/>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row>
    <row r="5" spans="1:116" x14ac:dyDescent="0.3">
      <c r="B5" s="178"/>
      <c r="C5" s="178"/>
      <c r="D5" s="178"/>
      <c r="E5" s="178"/>
      <c r="F5" s="178"/>
      <c r="G5" s="178"/>
      <c r="H5" s="178"/>
      <c r="I5" s="178"/>
      <c r="K5" s="178"/>
      <c r="L5" s="178"/>
      <c r="M5" s="178"/>
      <c r="N5" s="178"/>
      <c r="O5" s="178"/>
      <c r="P5" s="326" t="s">
        <v>842</v>
      </c>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row>
    <row r="6" spans="1:116" s="129" customFormat="1" x14ac:dyDescent="0.3">
      <c r="B6" s="143"/>
      <c r="C6" s="143"/>
      <c r="D6" s="143"/>
      <c r="E6" s="143"/>
      <c r="F6" s="143"/>
      <c r="G6" s="143"/>
      <c r="H6" s="143"/>
      <c r="I6" s="143"/>
      <c r="K6" s="143"/>
      <c r="L6" s="143"/>
      <c r="M6" s="143"/>
      <c r="N6" s="143"/>
      <c r="O6" s="143"/>
      <c r="P6" s="327" t="s">
        <v>313</v>
      </c>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row>
    <row r="7" spans="1:116" s="129" customFormat="1" x14ac:dyDescent="0.3">
      <c r="B7" s="164"/>
      <c r="C7" s="164"/>
      <c r="D7" s="164"/>
      <c r="E7" s="164"/>
      <c r="F7" s="164"/>
      <c r="G7" s="164"/>
      <c r="H7" s="164"/>
      <c r="I7" s="164"/>
      <c r="K7" s="164"/>
      <c r="L7" s="164"/>
      <c r="M7" s="164"/>
      <c r="N7" s="164"/>
      <c r="O7" s="164"/>
      <c r="P7" s="342"/>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row>
    <row r="8" spans="1:116" s="129" customFormat="1" x14ac:dyDescent="0.3">
      <c r="B8" s="341"/>
      <c r="C8" s="341"/>
      <c r="D8" s="341"/>
      <c r="E8" s="341"/>
      <c r="F8" s="341"/>
      <c r="G8" s="341"/>
      <c r="H8" s="341"/>
      <c r="I8" s="341"/>
      <c r="K8" s="341"/>
      <c r="L8" s="341"/>
      <c r="M8" s="341"/>
      <c r="N8" s="341"/>
      <c r="O8" s="341"/>
      <c r="P8" s="326" t="s">
        <v>938</v>
      </c>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row>
    <row r="9" spans="1:116" s="129" customFormat="1" x14ac:dyDescent="0.3">
      <c r="B9" s="143"/>
      <c r="C9" s="143"/>
      <c r="D9" s="143"/>
      <c r="E9" s="143"/>
      <c r="F9" s="352"/>
      <c r="G9" s="143"/>
      <c r="H9" s="143"/>
      <c r="I9" s="143"/>
      <c r="K9" s="143"/>
      <c r="L9" s="143"/>
      <c r="M9" s="143"/>
      <c r="N9" s="143"/>
      <c r="O9" s="143"/>
      <c r="P9" s="335"/>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row>
    <row r="10" spans="1:116" x14ac:dyDescent="0.3">
      <c r="B10" s="178"/>
      <c r="D10" s="178"/>
      <c r="E10" s="178"/>
      <c r="F10" s="178"/>
      <c r="G10" s="178"/>
      <c r="H10" s="353" t="s">
        <v>940</v>
      </c>
      <c r="I10" s="178"/>
      <c r="K10" s="178"/>
      <c r="L10" s="178"/>
      <c r="M10" s="178"/>
      <c r="N10" s="178"/>
      <c r="O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row>
    <row r="11" spans="1:116" x14ac:dyDescent="0.3">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row>
    <row r="12" spans="1:116" x14ac:dyDescent="0.3">
      <c r="B12" s="142"/>
      <c r="C12" s="142"/>
      <c r="E12" s="142"/>
      <c r="F12" s="142"/>
      <c r="G12" s="142"/>
      <c r="H12" s="142"/>
      <c r="I12" s="353"/>
      <c r="J12" s="142" t="s">
        <v>165</v>
      </c>
      <c r="K12" s="142"/>
      <c r="L12" s="142"/>
      <c r="M12" s="142"/>
      <c r="N12" s="142"/>
      <c r="O12" s="142"/>
      <c r="P12" s="142"/>
      <c r="Q12" s="142"/>
      <c r="R12" s="142"/>
      <c r="S12" s="142"/>
      <c r="T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row>
    <row r="13" spans="1:116" x14ac:dyDescent="0.3">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row>
    <row r="14" spans="1:116" x14ac:dyDescent="0.3">
      <c r="A14" s="1210" t="s">
        <v>179</v>
      </c>
      <c r="B14" s="1210" t="s">
        <v>31</v>
      </c>
      <c r="C14" s="1210" t="s">
        <v>4</v>
      </c>
      <c r="D14" s="1162" t="s">
        <v>62</v>
      </c>
      <c r="E14" s="1162"/>
      <c r="F14" s="1162"/>
      <c r="G14" s="1162"/>
      <c r="H14" s="1162"/>
      <c r="I14" s="1162"/>
      <c r="J14" s="1162"/>
      <c r="K14" s="1162"/>
      <c r="L14" s="1162"/>
      <c r="M14" s="1162"/>
      <c r="N14" s="1162"/>
      <c r="O14" s="1162"/>
      <c r="P14" s="1162"/>
      <c r="Q14" s="1162"/>
      <c r="R14" s="1162" t="s">
        <v>499</v>
      </c>
      <c r="S14" s="1162"/>
      <c r="T14" s="1162"/>
      <c r="U14" s="1162"/>
      <c r="V14" s="1162"/>
      <c r="W14" s="1162"/>
      <c r="X14" s="1162"/>
      <c r="Y14" s="1162"/>
      <c r="Z14" s="1162"/>
      <c r="AA14" s="1162"/>
      <c r="AB14" s="1162"/>
      <c r="AC14" s="1162"/>
      <c r="AD14" s="1162"/>
      <c r="AE14" s="1162"/>
      <c r="AF14" s="1242" t="s">
        <v>346</v>
      </c>
      <c r="AG14" s="1242"/>
      <c r="AH14" s="1242"/>
      <c r="AI14" s="1242"/>
      <c r="AJ14" s="1242"/>
      <c r="AK14" s="1242"/>
      <c r="AL14" s="1242"/>
      <c r="AM14" s="1242"/>
      <c r="AN14" s="1242"/>
      <c r="AO14" s="1242"/>
      <c r="AP14" s="1242"/>
      <c r="AQ14" s="1242"/>
      <c r="AR14" s="1242"/>
      <c r="AS14" s="1242"/>
      <c r="AT14" s="1242" t="s">
        <v>346</v>
      </c>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1242"/>
      <c r="DG14" s="1242"/>
      <c r="DH14" s="1242"/>
      <c r="DI14" s="1242"/>
      <c r="DJ14" s="1242"/>
      <c r="DK14" s="1242"/>
      <c r="DL14" s="1171" t="s">
        <v>169</v>
      </c>
    </row>
    <row r="15" spans="1:116" x14ac:dyDescent="0.3">
      <c r="A15" s="1210"/>
      <c r="B15" s="1210"/>
      <c r="C15" s="1210"/>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2"/>
      <c r="AD15" s="1162"/>
      <c r="AE15" s="1162"/>
      <c r="AF15" s="1202" t="s">
        <v>766</v>
      </c>
      <c r="AG15" s="1202"/>
      <c r="AH15" s="1202"/>
      <c r="AI15" s="1202"/>
      <c r="AJ15" s="1202"/>
      <c r="AK15" s="1202"/>
      <c r="AL15" s="1202"/>
      <c r="AM15" s="1202"/>
      <c r="AN15" s="1202"/>
      <c r="AO15" s="1202"/>
      <c r="AP15" s="1202"/>
      <c r="AQ15" s="1202"/>
      <c r="AR15" s="1202"/>
      <c r="AS15" s="1202"/>
      <c r="AT15" s="1202" t="s">
        <v>767</v>
      </c>
      <c r="AU15" s="1202"/>
      <c r="AV15" s="1202"/>
      <c r="AW15" s="1202"/>
      <c r="AX15" s="1202"/>
      <c r="AY15" s="1202"/>
      <c r="AZ15" s="1202"/>
      <c r="BA15" s="1202"/>
      <c r="BB15" s="1202"/>
      <c r="BC15" s="1202"/>
      <c r="BD15" s="1202"/>
      <c r="BE15" s="1202"/>
      <c r="BF15" s="1202"/>
      <c r="BG15" s="1202"/>
      <c r="BH15" s="1202" t="s">
        <v>768</v>
      </c>
      <c r="BI15" s="1202"/>
      <c r="BJ15" s="1202"/>
      <c r="BK15" s="1202"/>
      <c r="BL15" s="1202"/>
      <c r="BM15" s="1202"/>
      <c r="BN15" s="1202"/>
      <c r="BO15" s="1202"/>
      <c r="BP15" s="1202"/>
      <c r="BQ15" s="1202"/>
      <c r="BR15" s="1202"/>
      <c r="BS15" s="1202"/>
      <c r="BT15" s="1202"/>
      <c r="BU15" s="1202"/>
      <c r="BV15" s="1202" t="s">
        <v>769</v>
      </c>
      <c r="BW15" s="1202"/>
      <c r="BX15" s="1202"/>
      <c r="BY15" s="1202"/>
      <c r="BZ15" s="1202"/>
      <c r="CA15" s="1202"/>
      <c r="CB15" s="1202"/>
      <c r="CC15" s="1202"/>
      <c r="CD15" s="1202"/>
      <c r="CE15" s="1202"/>
      <c r="CF15" s="1202"/>
      <c r="CG15" s="1202"/>
      <c r="CH15" s="1202"/>
      <c r="CI15" s="1202"/>
      <c r="CJ15" s="1202" t="s">
        <v>770</v>
      </c>
      <c r="CK15" s="1202"/>
      <c r="CL15" s="1202"/>
      <c r="CM15" s="1202"/>
      <c r="CN15" s="1202"/>
      <c r="CO15" s="1202"/>
      <c r="CP15" s="1202"/>
      <c r="CQ15" s="1202"/>
      <c r="CR15" s="1202"/>
      <c r="CS15" s="1202"/>
      <c r="CT15" s="1202"/>
      <c r="CU15" s="1202"/>
      <c r="CV15" s="1202"/>
      <c r="CW15" s="1202"/>
      <c r="CX15" s="1167" t="s">
        <v>44</v>
      </c>
      <c r="CY15" s="1167"/>
      <c r="CZ15" s="1167"/>
      <c r="DA15" s="1167"/>
      <c r="DB15" s="1167"/>
      <c r="DC15" s="1167"/>
      <c r="DD15" s="1167"/>
      <c r="DE15" s="1167"/>
      <c r="DF15" s="1167"/>
      <c r="DG15" s="1167"/>
      <c r="DH15" s="1167"/>
      <c r="DI15" s="1167"/>
      <c r="DJ15" s="1167"/>
      <c r="DK15" s="1167"/>
      <c r="DL15" s="1171"/>
    </row>
    <row r="16" spans="1:116" x14ac:dyDescent="0.3">
      <c r="A16" s="1210"/>
      <c r="B16" s="1210"/>
      <c r="C16" s="1210"/>
      <c r="D16" s="1202" t="s">
        <v>19</v>
      </c>
      <c r="E16" s="1202"/>
      <c r="F16" s="1202"/>
      <c r="G16" s="1202"/>
      <c r="H16" s="1202"/>
      <c r="I16" s="1202"/>
      <c r="J16" s="1202"/>
      <c r="K16" s="1210" t="s">
        <v>415</v>
      </c>
      <c r="L16" s="1210"/>
      <c r="M16" s="1210"/>
      <c r="N16" s="1210"/>
      <c r="O16" s="1210"/>
      <c r="P16" s="1210"/>
      <c r="Q16" s="1210"/>
      <c r="R16" s="1202" t="s">
        <v>167</v>
      </c>
      <c r="S16" s="1202"/>
      <c r="T16" s="1202"/>
      <c r="U16" s="1202"/>
      <c r="V16" s="1202"/>
      <c r="W16" s="1202"/>
      <c r="X16" s="1202"/>
      <c r="Y16" s="1210" t="s">
        <v>415</v>
      </c>
      <c r="Z16" s="1210"/>
      <c r="AA16" s="1210"/>
      <c r="AB16" s="1210"/>
      <c r="AC16" s="1210"/>
      <c r="AD16" s="1210"/>
      <c r="AE16" s="1210"/>
      <c r="AF16" s="1202" t="s">
        <v>408</v>
      </c>
      <c r="AG16" s="1202"/>
      <c r="AH16" s="1202"/>
      <c r="AI16" s="1202"/>
      <c r="AJ16" s="1202"/>
      <c r="AK16" s="1202"/>
      <c r="AL16" s="1202"/>
      <c r="AM16" s="1210" t="s">
        <v>415</v>
      </c>
      <c r="AN16" s="1210"/>
      <c r="AO16" s="1210"/>
      <c r="AP16" s="1210"/>
      <c r="AQ16" s="1210"/>
      <c r="AR16" s="1210"/>
      <c r="AS16" s="1210"/>
      <c r="AT16" s="1202" t="s">
        <v>167</v>
      </c>
      <c r="AU16" s="1202"/>
      <c r="AV16" s="1202"/>
      <c r="AW16" s="1202"/>
      <c r="AX16" s="1202"/>
      <c r="AY16" s="1202"/>
      <c r="AZ16" s="1202"/>
      <c r="BA16" s="1210" t="s">
        <v>415</v>
      </c>
      <c r="BB16" s="1210"/>
      <c r="BC16" s="1210"/>
      <c r="BD16" s="1210"/>
      <c r="BE16" s="1210"/>
      <c r="BF16" s="1210"/>
      <c r="BG16" s="1210"/>
      <c r="BH16" s="1202" t="s">
        <v>167</v>
      </c>
      <c r="BI16" s="1202"/>
      <c r="BJ16" s="1202"/>
      <c r="BK16" s="1202"/>
      <c r="BL16" s="1202"/>
      <c r="BM16" s="1202"/>
      <c r="BN16" s="1202"/>
      <c r="BO16" s="1210" t="s">
        <v>415</v>
      </c>
      <c r="BP16" s="1210"/>
      <c r="BQ16" s="1210"/>
      <c r="BR16" s="1210"/>
      <c r="BS16" s="1210"/>
      <c r="BT16" s="1210"/>
      <c r="BU16" s="1210"/>
      <c r="BV16" s="1202" t="s">
        <v>167</v>
      </c>
      <c r="BW16" s="1202"/>
      <c r="BX16" s="1202"/>
      <c r="BY16" s="1202"/>
      <c r="BZ16" s="1202"/>
      <c r="CA16" s="1202"/>
      <c r="CB16" s="1202"/>
      <c r="CC16" s="1210" t="s">
        <v>415</v>
      </c>
      <c r="CD16" s="1210"/>
      <c r="CE16" s="1210"/>
      <c r="CF16" s="1210"/>
      <c r="CG16" s="1210"/>
      <c r="CH16" s="1210"/>
      <c r="CI16" s="1210"/>
      <c r="CJ16" s="1202" t="s">
        <v>167</v>
      </c>
      <c r="CK16" s="1202"/>
      <c r="CL16" s="1202"/>
      <c r="CM16" s="1202"/>
      <c r="CN16" s="1202"/>
      <c r="CO16" s="1202"/>
      <c r="CP16" s="1202"/>
      <c r="CQ16" s="1210" t="s">
        <v>415</v>
      </c>
      <c r="CR16" s="1210"/>
      <c r="CS16" s="1210"/>
      <c r="CT16" s="1210"/>
      <c r="CU16" s="1210"/>
      <c r="CV16" s="1210"/>
      <c r="CW16" s="1210"/>
      <c r="CX16" s="1202" t="s">
        <v>19</v>
      </c>
      <c r="CY16" s="1202"/>
      <c r="CZ16" s="1202"/>
      <c r="DA16" s="1202"/>
      <c r="DB16" s="1202"/>
      <c r="DC16" s="1202"/>
      <c r="DD16" s="1202"/>
      <c r="DE16" s="1210" t="s">
        <v>168</v>
      </c>
      <c r="DF16" s="1210"/>
      <c r="DG16" s="1210"/>
      <c r="DH16" s="1210"/>
      <c r="DI16" s="1210"/>
      <c r="DJ16" s="1210"/>
      <c r="DK16" s="1210"/>
      <c r="DL16" s="1171"/>
    </row>
    <row r="17" spans="1:116" ht="71.25" customHeight="1" x14ac:dyDescent="0.3">
      <c r="A17" s="1210"/>
      <c r="B17" s="1210"/>
      <c r="C17" s="1210"/>
      <c r="D17" s="910" t="s">
        <v>5</v>
      </c>
      <c r="E17" s="910" t="s">
        <v>6</v>
      </c>
      <c r="F17" s="910" t="s">
        <v>212</v>
      </c>
      <c r="G17" s="910" t="s">
        <v>196</v>
      </c>
      <c r="H17" s="910" t="s">
        <v>197</v>
      </c>
      <c r="I17" s="910" t="s">
        <v>2</v>
      </c>
      <c r="J17" s="191" t="s">
        <v>148</v>
      </c>
      <c r="K17" s="910" t="s">
        <v>5</v>
      </c>
      <c r="L17" s="910" t="s">
        <v>6</v>
      </c>
      <c r="M17" s="910" t="s">
        <v>212</v>
      </c>
      <c r="N17" s="910" t="s">
        <v>196</v>
      </c>
      <c r="O17" s="910" t="s">
        <v>197</v>
      </c>
      <c r="P17" s="910" t="s">
        <v>2</v>
      </c>
      <c r="Q17" s="191" t="s">
        <v>148</v>
      </c>
      <c r="R17" s="910" t="s">
        <v>5</v>
      </c>
      <c r="S17" s="910" t="s">
        <v>6</v>
      </c>
      <c r="T17" s="910" t="s">
        <v>212</v>
      </c>
      <c r="U17" s="910" t="s">
        <v>196</v>
      </c>
      <c r="V17" s="910" t="s">
        <v>197</v>
      </c>
      <c r="W17" s="910" t="s">
        <v>2</v>
      </c>
      <c r="X17" s="191" t="s">
        <v>148</v>
      </c>
      <c r="Y17" s="910" t="s">
        <v>5</v>
      </c>
      <c r="Z17" s="910" t="s">
        <v>6</v>
      </c>
      <c r="AA17" s="910" t="s">
        <v>212</v>
      </c>
      <c r="AB17" s="910" t="s">
        <v>196</v>
      </c>
      <c r="AC17" s="910" t="s">
        <v>197</v>
      </c>
      <c r="AD17" s="910" t="s">
        <v>2</v>
      </c>
      <c r="AE17" s="191" t="s">
        <v>148</v>
      </c>
      <c r="AF17" s="910" t="s">
        <v>5</v>
      </c>
      <c r="AG17" s="910" t="s">
        <v>6</v>
      </c>
      <c r="AH17" s="910" t="s">
        <v>212</v>
      </c>
      <c r="AI17" s="910" t="s">
        <v>196</v>
      </c>
      <c r="AJ17" s="910" t="s">
        <v>197</v>
      </c>
      <c r="AK17" s="910" t="s">
        <v>2</v>
      </c>
      <c r="AL17" s="191" t="s">
        <v>148</v>
      </c>
      <c r="AM17" s="910" t="s">
        <v>5</v>
      </c>
      <c r="AN17" s="910" t="s">
        <v>6</v>
      </c>
      <c r="AO17" s="910" t="s">
        <v>212</v>
      </c>
      <c r="AP17" s="910" t="s">
        <v>196</v>
      </c>
      <c r="AQ17" s="910" t="s">
        <v>197</v>
      </c>
      <c r="AR17" s="910" t="s">
        <v>2</v>
      </c>
      <c r="AS17" s="191" t="s">
        <v>148</v>
      </c>
      <c r="AT17" s="910" t="s">
        <v>5</v>
      </c>
      <c r="AU17" s="910" t="s">
        <v>6</v>
      </c>
      <c r="AV17" s="910" t="s">
        <v>212</v>
      </c>
      <c r="AW17" s="910" t="s">
        <v>196</v>
      </c>
      <c r="AX17" s="910" t="s">
        <v>197</v>
      </c>
      <c r="AY17" s="910" t="s">
        <v>2</v>
      </c>
      <c r="AZ17" s="191" t="s">
        <v>148</v>
      </c>
      <c r="BA17" s="910" t="s">
        <v>5</v>
      </c>
      <c r="BB17" s="910" t="s">
        <v>6</v>
      </c>
      <c r="BC17" s="910" t="s">
        <v>212</v>
      </c>
      <c r="BD17" s="910" t="s">
        <v>196</v>
      </c>
      <c r="BE17" s="910" t="s">
        <v>197</v>
      </c>
      <c r="BF17" s="910" t="s">
        <v>2</v>
      </c>
      <c r="BG17" s="191" t="s">
        <v>148</v>
      </c>
      <c r="BH17" s="910" t="s">
        <v>5</v>
      </c>
      <c r="BI17" s="910" t="s">
        <v>6</v>
      </c>
      <c r="BJ17" s="910" t="s">
        <v>212</v>
      </c>
      <c r="BK17" s="910" t="s">
        <v>196</v>
      </c>
      <c r="BL17" s="910" t="s">
        <v>197</v>
      </c>
      <c r="BM17" s="910" t="s">
        <v>2</v>
      </c>
      <c r="BN17" s="191" t="s">
        <v>148</v>
      </c>
      <c r="BO17" s="910" t="s">
        <v>5</v>
      </c>
      <c r="BP17" s="910" t="s">
        <v>6</v>
      </c>
      <c r="BQ17" s="910" t="s">
        <v>212</v>
      </c>
      <c r="BR17" s="910" t="s">
        <v>196</v>
      </c>
      <c r="BS17" s="910" t="s">
        <v>197</v>
      </c>
      <c r="BT17" s="910" t="s">
        <v>2</v>
      </c>
      <c r="BU17" s="191" t="s">
        <v>148</v>
      </c>
      <c r="BV17" s="910" t="s">
        <v>5</v>
      </c>
      <c r="BW17" s="910" t="s">
        <v>6</v>
      </c>
      <c r="BX17" s="910" t="s">
        <v>212</v>
      </c>
      <c r="BY17" s="910" t="s">
        <v>196</v>
      </c>
      <c r="BZ17" s="910" t="s">
        <v>197</v>
      </c>
      <c r="CA17" s="910" t="s">
        <v>2</v>
      </c>
      <c r="CB17" s="191" t="s">
        <v>148</v>
      </c>
      <c r="CC17" s="910" t="s">
        <v>5</v>
      </c>
      <c r="CD17" s="910" t="s">
        <v>6</v>
      </c>
      <c r="CE17" s="910" t="s">
        <v>212</v>
      </c>
      <c r="CF17" s="910" t="s">
        <v>196</v>
      </c>
      <c r="CG17" s="910" t="s">
        <v>197</v>
      </c>
      <c r="CH17" s="910" t="s">
        <v>2</v>
      </c>
      <c r="CI17" s="191" t="s">
        <v>148</v>
      </c>
      <c r="CJ17" s="910" t="s">
        <v>5</v>
      </c>
      <c r="CK17" s="910" t="s">
        <v>6</v>
      </c>
      <c r="CL17" s="910" t="s">
        <v>212</v>
      </c>
      <c r="CM17" s="910" t="s">
        <v>196</v>
      </c>
      <c r="CN17" s="910" t="s">
        <v>197</v>
      </c>
      <c r="CO17" s="910" t="s">
        <v>2</v>
      </c>
      <c r="CP17" s="191" t="s">
        <v>148</v>
      </c>
      <c r="CQ17" s="910" t="s">
        <v>5</v>
      </c>
      <c r="CR17" s="910" t="s">
        <v>6</v>
      </c>
      <c r="CS17" s="910" t="s">
        <v>212</v>
      </c>
      <c r="CT17" s="910" t="s">
        <v>196</v>
      </c>
      <c r="CU17" s="910" t="s">
        <v>197</v>
      </c>
      <c r="CV17" s="910" t="s">
        <v>2</v>
      </c>
      <c r="CW17" s="191" t="s">
        <v>148</v>
      </c>
      <c r="CX17" s="910" t="s">
        <v>5</v>
      </c>
      <c r="CY17" s="910" t="s">
        <v>6</v>
      </c>
      <c r="CZ17" s="910" t="s">
        <v>212</v>
      </c>
      <c r="DA17" s="910" t="s">
        <v>196</v>
      </c>
      <c r="DB17" s="910" t="s">
        <v>197</v>
      </c>
      <c r="DC17" s="910" t="s">
        <v>2</v>
      </c>
      <c r="DD17" s="191" t="s">
        <v>148</v>
      </c>
      <c r="DE17" s="910" t="s">
        <v>5</v>
      </c>
      <c r="DF17" s="910" t="s">
        <v>6</v>
      </c>
      <c r="DG17" s="910" t="s">
        <v>212</v>
      </c>
      <c r="DH17" s="910" t="s">
        <v>196</v>
      </c>
      <c r="DI17" s="910" t="s">
        <v>197</v>
      </c>
      <c r="DJ17" s="910" t="s">
        <v>2</v>
      </c>
      <c r="DK17" s="191" t="s">
        <v>148</v>
      </c>
      <c r="DL17" s="1171"/>
    </row>
    <row r="18" spans="1:116" x14ac:dyDescent="0.3">
      <c r="A18" s="912">
        <v>1</v>
      </c>
      <c r="B18" s="912">
        <v>2</v>
      </c>
      <c r="C18" s="912">
        <v>3</v>
      </c>
      <c r="D18" s="193" t="s">
        <v>108</v>
      </c>
      <c r="E18" s="193" t="s">
        <v>109</v>
      </c>
      <c r="F18" s="193" t="s">
        <v>110</v>
      </c>
      <c r="G18" s="193" t="s">
        <v>111</v>
      </c>
      <c r="H18" s="193" t="s">
        <v>112</v>
      </c>
      <c r="I18" s="193" t="s">
        <v>113</v>
      </c>
      <c r="J18" s="193" t="s">
        <v>188</v>
      </c>
      <c r="K18" s="193" t="s">
        <v>189</v>
      </c>
      <c r="L18" s="193" t="s">
        <v>190</v>
      </c>
      <c r="M18" s="193" t="s">
        <v>191</v>
      </c>
      <c r="N18" s="193" t="s">
        <v>192</v>
      </c>
      <c r="O18" s="193" t="s">
        <v>193</v>
      </c>
      <c r="P18" s="193" t="s">
        <v>194</v>
      </c>
      <c r="Q18" s="193" t="s">
        <v>195</v>
      </c>
      <c r="R18" s="193" t="s">
        <v>213</v>
      </c>
      <c r="S18" s="193" t="s">
        <v>214</v>
      </c>
      <c r="T18" s="193" t="s">
        <v>215</v>
      </c>
      <c r="U18" s="193" t="s">
        <v>216</v>
      </c>
      <c r="V18" s="193" t="s">
        <v>217</v>
      </c>
      <c r="W18" s="193" t="s">
        <v>218</v>
      </c>
      <c r="X18" s="193" t="s">
        <v>219</v>
      </c>
      <c r="Y18" s="193" t="s">
        <v>220</v>
      </c>
      <c r="Z18" s="193" t="s">
        <v>221</v>
      </c>
      <c r="AA18" s="193" t="s">
        <v>222</v>
      </c>
      <c r="AB18" s="193" t="s">
        <v>223</v>
      </c>
      <c r="AC18" s="193" t="s">
        <v>224</v>
      </c>
      <c r="AD18" s="193" t="s">
        <v>225</v>
      </c>
      <c r="AE18" s="193" t="s">
        <v>226</v>
      </c>
      <c r="AF18" s="193" t="s">
        <v>251</v>
      </c>
      <c r="AG18" s="193" t="s">
        <v>252</v>
      </c>
      <c r="AH18" s="193" t="s">
        <v>253</v>
      </c>
      <c r="AI18" s="193" t="s">
        <v>254</v>
      </c>
      <c r="AJ18" s="193" t="s">
        <v>255</v>
      </c>
      <c r="AK18" s="193" t="s">
        <v>256</v>
      </c>
      <c r="AL18" s="193" t="s">
        <v>257</v>
      </c>
      <c r="AM18" s="193" t="s">
        <v>258</v>
      </c>
      <c r="AN18" s="193" t="s">
        <v>259</v>
      </c>
      <c r="AO18" s="193" t="s">
        <v>260</v>
      </c>
      <c r="AP18" s="193" t="s">
        <v>261</v>
      </c>
      <c r="AQ18" s="193" t="s">
        <v>262</v>
      </c>
      <c r="AR18" s="193" t="s">
        <v>263</v>
      </c>
      <c r="AS18" s="193" t="s">
        <v>264</v>
      </c>
      <c r="AT18" s="193" t="s">
        <v>269</v>
      </c>
      <c r="AU18" s="193" t="s">
        <v>270</v>
      </c>
      <c r="AV18" s="193" t="s">
        <v>271</v>
      </c>
      <c r="AW18" s="193" t="s">
        <v>272</v>
      </c>
      <c r="AX18" s="193" t="s">
        <v>273</v>
      </c>
      <c r="AY18" s="193" t="s">
        <v>274</v>
      </c>
      <c r="AZ18" s="193" t="s">
        <v>275</v>
      </c>
      <c r="BA18" s="193" t="s">
        <v>276</v>
      </c>
      <c r="BB18" s="193" t="s">
        <v>277</v>
      </c>
      <c r="BC18" s="193" t="s">
        <v>278</v>
      </c>
      <c r="BD18" s="193" t="s">
        <v>279</v>
      </c>
      <c r="BE18" s="193" t="s">
        <v>280</v>
      </c>
      <c r="BF18" s="193" t="s">
        <v>281</v>
      </c>
      <c r="BG18" s="193" t="s">
        <v>282</v>
      </c>
      <c r="BH18" s="193" t="s">
        <v>283</v>
      </c>
      <c r="BI18" s="193" t="s">
        <v>284</v>
      </c>
      <c r="BJ18" s="193" t="s">
        <v>285</v>
      </c>
      <c r="BK18" s="193" t="s">
        <v>286</v>
      </c>
      <c r="BL18" s="193" t="s">
        <v>287</v>
      </c>
      <c r="BM18" s="193" t="s">
        <v>288</v>
      </c>
      <c r="BN18" s="193" t="s">
        <v>289</v>
      </c>
      <c r="BO18" s="193" t="s">
        <v>290</v>
      </c>
      <c r="BP18" s="193" t="s">
        <v>291</v>
      </c>
      <c r="BQ18" s="193" t="s">
        <v>292</v>
      </c>
      <c r="BR18" s="193" t="s">
        <v>293</v>
      </c>
      <c r="BS18" s="193" t="s">
        <v>294</v>
      </c>
      <c r="BT18" s="193" t="s">
        <v>295</v>
      </c>
      <c r="BU18" s="193" t="s">
        <v>296</v>
      </c>
      <c r="BV18" s="193" t="s">
        <v>771</v>
      </c>
      <c r="BW18" s="193" t="s">
        <v>772</v>
      </c>
      <c r="BX18" s="193" t="s">
        <v>773</v>
      </c>
      <c r="BY18" s="193" t="s">
        <v>774</v>
      </c>
      <c r="BZ18" s="193" t="s">
        <v>775</v>
      </c>
      <c r="CA18" s="193" t="s">
        <v>776</v>
      </c>
      <c r="CB18" s="193" t="s">
        <v>777</v>
      </c>
      <c r="CC18" s="193" t="s">
        <v>778</v>
      </c>
      <c r="CD18" s="193" t="s">
        <v>779</v>
      </c>
      <c r="CE18" s="193" t="s">
        <v>780</v>
      </c>
      <c r="CF18" s="193" t="s">
        <v>781</v>
      </c>
      <c r="CG18" s="193" t="s">
        <v>782</v>
      </c>
      <c r="CH18" s="193" t="s">
        <v>783</v>
      </c>
      <c r="CI18" s="193" t="s">
        <v>784</v>
      </c>
      <c r="CJ18" s="193" t="s">
        <v>785</v>
      </c>
      <c r="CK18" s="193" t="s">
        <v>786</v>
      </c>
      <c r="CL18" s="193" t="s">
        <v>787</v>
      </c>
      <c r="CM18" s="193" t="s">
        <v>788</v>
      </c>
      <c r="CN18" s="193" t="s">
        <v>789</v>
      </c>
      <c r="CO18" s="193" t="s">
        <v>790</v>
      </c>
      <c r="CP18" s="193" t="s">
        <v>791</v>
      </c>
      <c r="CQ18" s="193" t="s">
        <v>297</v>
      </c>
      <c r="CR18" s="193" t="s">
        <v>298</v>
      </c>
      <c r="CS18" s="193" t="s">
        <v>299</v>
      </c>
      <c r="CT18" s="193" t="s">
        <v>300</v>
      </c>
      <c r="CU18" s="193" t="s">
        <v>301</v>
      </c>
      <c r="CV18" s="193" t="s">
        <v>302</v>
      </c>
      <c r="CW18" s="193" t="s">
        <v>303</v>
      </c>
      <c r="CX18" s="193" t="s">
        <v>485</v>
      </c>
      <c r="CY18" s="193" t="s">
        <v>486</v>
      </c>
      <c r="CZ18" s="193" t="s">
        <v>487</v>
      </c>
      <c r="DA18" s="193" t="s">
        <v>488</v>
      </c>
      <c r="DB18" s="193" t="s">
        <v>489</v>
      </c>
      <c r="DC18" s="193" t="s">
        <v>490</v>
      </c>
      <c r="DD18" s="193" t="s">
        <v>491</v>
      </c>
      <c r="DE18" s="193" t="s">
        <v>492</v>
      </c>
      <c r="DF18" s="193" t="s">
        <v>493</v>
      </c>
      <c r="DG18" s="193" t="s">
        <v>494</v>
      </c>
      <c r="DH18" s="193" t="s">
        <v>495</v>
      </c>
      <c r="DI18" s="193" t="s">
        <v>496</v>
      </c>
      <c r="DJ18" s="193" t="s">
        <v>497</v>
      </c>
      <c r="DK18" s="193" t="s">
        <v>498</v>
      </c>
      <c r="DL18" s="912">
        <v>8</v>
      </c>
    </row>
    <row r="19" spans="1:116" s="165" customFormat="1" ht="40.5" x14ac:dyDescent="0.25">
      <c r="A19" s="147" t="s">
        <v>711</v>
      </c>
      <c r="B19" s="148" t="s">
        <v>684</v>
      </c>
      <c r="C19" s="171" t="s">
        <v>621</v>
      </c>
      <c r="D19" s="243">
        <f>D20</f>
        <v>11.33</v>
      </c>
      <c r="E19" s="243" t="s">
        <v>621</v>
      </c>
      <c r="F19" s="243" t="s">
        <v>621</v>
      </c>
      <c r="G19" s="243" t="s">
        <v>621</v>
      </c>
      <c r="H19" s="255">
        <f>H20</f>
        <v>22.911000000000001</v>
      </c>
      <c r="I19" s="243" t="s">
        <v>621</v>
      </c>
      <c r="J19" s="243">
        <v>11311</v>
      </c>
      <c r="K19" s="243">
        <f>K20</f>
        <v>13.33</v>
      </c>
      <c r="L19" s="243" t="s">
        <v>621</v>
      </c>
      <c r="M19" s="243" t="s">
        <v>621</v>
      </c>
      <c r="N19" s="243" t="s">
        <v>621</v>
      </c>
      <c r="O19" s="255">
        <f>O20</f>
        <v>23.925000000000001</v>
      </c>
      <c r="P19" s="243" t="s">
        <v>621</v>
      </c>
      <c r="Q19" s="243">
        <f>Q20</f>
        <v>11311</v>
      </c>
      <c r="R19" s="243" t="s">
        <v>621</v>
      </c>
      <c r="S19" s="243" t="s">
        <v>621</v>
      </c>
      <c r="T19" s="243" t="s">
        <v>621</v>
      </c>
      <c r="U19" s="243" t="s">
        <v>621</v>
      </c>
      <c r="V19" s="243" t="s">
        <v>621</v>
      </c>
      <c r="W19" s="243" t="s">
        <v>621</v>
      </c>
      <c r="X19" s="243" t="s">
        <v>621</v>
      </c>
      <c r="Y19" s="243" t="s">
        <v>621</v>
      </c>
      <c r="Z19" s="243" t="s">
        <v>621</v>
      </c>
      <c r="AA19" s="243" t="s">
        <v>621</v>
      </c>
      <c r="AB19" s="243" t="s">
        <v>621</v>
      </c>
      <c r="AC19" s="243" t="s">
        <v>621</v>
      </c>
      <c r="AD19" s="243" t="s">
        <v>621</v>
      </c>
      <c r="AE19" s="243" t="s">
        <v>621</v>
      </c>
      <c r="AF19" s="243">
        <f>AF20</f>
        <v>1.6</v>
      </c>
      <c r="AG19" s="243" t="s">
        <v>621</v>
      </c>
      <c r="AH19" s="243" t="s">
        <v>621</v>
      </c>
      <c r="AI19" s="243" t="s">
        <v>621</v>
      </c>
      <c r="AJ19" s="254">
        <f>AJ20</f>
        <v>4.6820000000000004</v>
      </c>
      <c r="AK19" s="243" t="s">
        <v>621</v>
      </c>
      <c r="AL19" s="243">
        <f>AL20</f>
        <v>28</v>
      </c>
      <c r="AM19" s="243">
        <f>AM20</f>
        <v>1.6</v>
      </c>
      <c r="AN19" s="243" t="s">
        <v>621</v>
      </c>
      <c r="AO19" s="243" t="s">
        <v>621</v>
      </c>
      <c r="AP19" s="243" t="s">
        <v>621</v>
      </c>
      <c r="AQ19" s="243">
        <f>AQ20</f>
        <v>4.6820000000000004</v>
      </c>
      <c r="AR19" s="243" t="s">
        <v>621</v>
      </c>
      <c r="AS19" s="243">
        <f>AS20</f>
        <v>28</v>
      </c>
      <c r="AT19" s="243">
        <f>AT20</f>
        <v>0.8</v>
      </c>
      <c r="AU19" s="243" t="s">
        <v>621</v>
      </c>
      <c r="AV19" s="243" t="s">
        <v>621</v>
      </c>
      <c r="AW19" s="243" t="s">
        <v>621</v>
      </c>
      <c r="AX19" s="261">
        <f>AX20</f>
        <v>6.32</v>
      </c>
      <c r="AY19" s="243" t="s">
        <v>621</v>
      </c>
      <c r="AZ19" s="243">
        <v>2783</v>
      </c>
      <c r="BA19" s="243">
        <f>BA20</f>
        <v>0.8</v>
      </c>
      <c r="BB19" s="243" t="s">
        <v>621</v>
      </c>
      <c r="BC19" s="243" t="s">
        <v>621</v>
      </c>
      <c r="BD19" s="243" t="s">
        <v>621</v>
      </c>
      <c r="BE19" s="243">
        <f>BE20</f>
        <v>19.243400000000001</v>
      </c>
      <c r="BF19" s="243" t="s">
        <v>621</v>
      </c>
      <c r="BG19" s="243">
        <f>BG20</f>
        <v>2786</v>
      </c>
      <c r="BH19" s="243">
        <f>BH20</f>
        <v>2.06</v>
      </c>
      <c r="BI19" s="243" t="s">
        <v>621</v>
      </c>
      <c r="BJ19" s="243" t="s">
        <v>621</v>
      </c>
      <c r="BK19" s="243" t="s">
        <v>621</v>
      </c>
      <c r="BL19" s="261">
        <f>BL20</f>
        <v>3.875</v>
      </c>
      <c r="BM19" s="243" t="s">
        <v>621</v>
      </c>
      <c r="BN19" s="243">
        <f>BN20</f>
        <v>38</v>
      </c>
      <c r="BO19" s="243">
        <f>BO20</f>
        <v>1.26</v>
      </c>
      <c r="BP19" s="243" t="s">
        <v>621</v>
      </c>
      <c r="BQ19" s="243" t="s">
        <v>621</v>
      </c>
      <c r="BR19" s="243" t="s">
        <v>621</v>
      </c>
      <c r="BS19" s="243">
        <f>BS20</f>
        <v>0</v>
      </c>
      <c r="BT19" s="243" t="s">
        <v>621</v>
      </c>
      <c r="BU19" s="243">
        <f>BU20</f>
        <v>42</v>
      </c>
      <c r="BV19" s="243">
        <f>BV20</f>
        <v>6.87</v>
      </c>
      <c r="BW19" s="243" t="s">
        <v>621</v>
      </c>
      <c r="BX19" s="243" t="s">
        <v>621</v>
      </c>
      <c r="BY19" s="243" t="s">
        <v>621</v>
      </c>
      <c r="BZ19" s="261">
        <f>BZ20</f>
        <v>4.8949999999999996</v>
      </c>
      <c r="CA19" s="243" t="s">
        <v>621</v>
      </c>
      <c r="CB19" s="243" t="str">
        <f>CB20</f>
        <v>нд</v>
      </c>
      <c r="CC19" s="243">
        <f>CC20</f>
        <v>6.87</v>
      </c>
      <c r="CD19" s="243" t="s">
        <v>621</v>
      </c>
      <c r="CE19" s="243" t="s">
        <v>621</v>
      </c>
      <c r="CF19" s="243" t="s">
        <v>621</v>
      </c>
      <c r="CG19" s="243">
        <f>CG20</f>
        <v>4.8949999999999996</v>
      </c>
      <c r="CH19" s="243" t="s">
        <v>621</v>
      </c>
      <c r="CI19" s="243" t="str">
        <f>CI20</f>
        <v>нд</v>
      </c>
      <c r="CJ19" s="243" t="s">
        <v>621</v>
      </c>
      <c r="CK19" s="243" t="s">
        <v>621</v>
      </c>
      <c r="CL19" s="243" t="s">
        <v>621</v>
      </c>
      <c r="CM19" s="243" t="s">
        <v>621</v>
      </c>
      <c r="CN19" s="261">
        <f>CN20</f>
        <v>3.1389999999999998</v>
      </c>
      <c r="CO19" s="243" t="s">
        <v>621</v>
      </c>
      <c r="CP19" s="243">
        <f>CP20</f>
        <v>36</v>
      </c>
      <c r="CQ19" s="243" t="s">
        <v>621</v>
      </c>
      <c r="CR19" s="243" t="s">
        <v>621</v>
      </c>
      <c r="CS19" s="243" t="s">
        <v>621</v>
      </c>
      <c r="CT19" s="243" t="s">
        <v>621</v>
      </c>
      <c r="CU19" s="243">
        <f>CU20</f>
        <v>3.1389999999999998</v>
      </c>
      <c r="CV19" s="243" t="s">
        <v>621</v>
      </c>
      <c r="CW19" s="243">
        <f>CW20</f>
        <v>36</v>
      </c>
      <c r="CX19" s="243">
        <f>CX20</f>
        <v>11.33</v>
      </c>
      <c r="CY19" s="243" t="s">
        <v>621</v>
      </c>
      <c r="CZ19" s="243" t="s">
        <v>621</v>
      </c>
      <c r="DA19" s="243" t="s">
        <v>621</v>
      </c>
      <c r="DB19" s="255">
        <f>DB20</f>
        <v>22.911000000000001</v>
      </c>
      <c r="DC19" s="243" t="s">
        <v>621</v>
      </c>
      <c r="DD19" s="243">
        <v>11311</v>
      </c>
      <c r="DE19" s="243">
        <f>DE20</f>
        <v>12.59</v>
      </c>
      <c r="DF19" s="243" t="s">
        <v>621</v>
      </c>
      <c r="DG19" s="243" t="s">
        <v>621</v>
      </c>
      <c r="DH19" s="243" t="s">
        <v>621</v>
      </c>
      <c r="DI19" s="243">
        <f>DI20</f>
        <v>42.793999999999997</v>
      </c>
      <c r="DJ19" s="243" t="s">
        <v>621</v>
      </c>
      <c r="DK19" s="243">
        <v>11311</v>
      </c>
      <c r="DL19" s="243"/>
    </row>
    <row r="20" spans="1:116" s="186" customFormat="1" ht="40.5" x14ac:dyDescent="0.25">
      <c r="A20" s="150" t="s">
        <v>713</v>
      </c>
      <c r="B20" s="173" t="s">
        <v>686</v>
      </c>
      <c r="C20" s="911" t="s">
        <v>621</v>
      </c>
      <c r="D20" s="245">
        <f>D21</f>
        <v>11.33</v>
      </c>
      <c r="E20" s="245" t="s">
        <v>621</v>
      </c>
      <c r="F20" s="245" t="s">
        <v>621</v>
      </c>
      <c r="G20" s="245" t="s">
        <v>621</v>
      </c>
      <c r="H20" s="257">
        <f>H21</f>
        <v>22.911000000000001</v>
      </c>
      <c r="I20" s="245" t="s">
        <v>621</v>
      </c>
      <c r="J20" s="245">
        <v>11311</v>
      </c>
      <c r="K20" s="245">
        <f>K21</f>
        <v>13.33</v>
      </c>
      <c r="L20" s="245" t="s">
        <v>621</v>
      </c>
      <c r="M20" s="245" t="s">
        <v>621</v>
      </c>
      <c r="N20" s="245" t="s">
        <v>621</v>
      </c>
      <c r="O20" s="257">
        <f>O21</f>
        <v>23.925000000000001</v>
      </c>
      <c r="P20" s="245" t="s">
        <v>621</v>
      </c>
      <c r="Q20" s="245">
        <f>Q21</f>
        <v>11311</v>
      </c>
      <c r="R20" s="245" t="s">
        <v>621</v>
      </c>
      <c r="S20" s="245" t="s">
        <v>621</v>
      </c>
      <c r="T20" s="245" t="s">
        <v>621</v>
      </c>
      <c r="U20" s="245" t="s">
        <v>621</v>
      </c>
      <c r="V20" s="245" t="s">
        <v>621</v>
      </c>
      <c r="W20" s="245" t="s">
        <v>621</v>
      </c>
      <c r="X20" s="245" t="s">
        <v>621</v>
      </c>
      <c r="Y20" s="245" t="s">
        <v>621</v>
      </c>
      <c r="Z20" s="245" t="s">
        <v>621</v>
      </c>
      <c r="AA20" s="245" t="s">
        <v>621</v>
      </c>
      <c r="AB20" s="245" t="s">
        <v>621</v>
      </c>
      <c r="AC20" s="245" t="s">
        <v>621</v>
      </c>
      <c r="AD20" s="245" t="s">
        <v>621</v>
      </c>
      <c r="AE20" s="245" t="s">
        <v>621</v>
      </c>
      <c r="AF20" s="245">
        <f>AF21</f>
        <v>1.6</v>
      </c>
      <c r="AG20" s="245" t="s">
        <v>621</v>
      </c>
      <c r="AH20" s="245" t="s">
        <v>621</v>
      </c>
      <c r="AI20" s="245" t="s">
        <v>621</v>
      </c>
      <c r="AJ20" s="256">
        <f>AJ21</f>
        <v>4.6820000000000004</v>
      </c>
      <c r="AK20" s="245" t="s">
        <v>621</v>
      </c>
      <c r="AL20" s="245">
        <f>AL21</f>
        <v>28</v>
      </c>
      <c r="AM20" s="245">
        <f>AM21</f>
        <v>1.6</v>
      </c>
      <c r="AN20" s="245" t="s">
        <v>621</v>
      </c>
      <c r="AO20" s="245" t="s">
        <v>621</v>
      </c>
      <c r="AP20" s="245" t="s">
        <v>621</v>
      </c>
      <c r="AQ20" s="245">
        <f>AQ21</f>
        <v>4.6820000000000004</v>
      </c>
      <c r="AR20" s="245" t="s">
        <v>621</v>
      </c>
      <c r="AS20" s="245">
        <f>AS21</f>
        <v>28</v>
      </c>
      <c r="AT20" s="245">
        <f>AT21</f>
        <v>0.8</v>
      </c>
      <c r="AU20" s="245" t="s">
        <v>621</v>
      </c>
      <c r="AV20" s="245" t="s">
        <v>621</v>
      </c>
      <c r="AW20" s="245" t="s">
        <v>621</v>
      </c>
      <c r="AX20" s="262">
        <f>AX21</f>
        <v>6.32</v>
      </c>
      <c r="AY20" s="245" t="s">
        <v>621</v>
      </c>
      <c r="AZ20" s="245">
        <v>2783</v>
      </c>
      <c r="BA20" s="245">
        <f>BA21</f>
        <v>0.8</v>
      </c>
      <c r="BB20" s="245" t="s">
        <v>621</v>
      </c>
      <c r="BC20" s="245" t="s">
        <v>621</v>
      </c>
      <c r="BD20" s="245" t="s">
        <v>621</v>
      </c>
      <c r="BE20" s="245">
        <f>BE21</f>
        <v>19.243400000000001</v>
      </c>
      <c r="BF20" s="245" t="s">
        <v>621</v>
      </c>
      <c r="BG20" s="245">
        <f>BG21</f>
        <v>2786</v>
      </c>
      <c r="BH20" s="245">
        <f>BH21</f>
        <v>2.06</v>
      </c>
      <c r="BI20" s="245" t="s">
        <v>621</v>
      </c>
      <c r="BJ20" s="245" t="s">
        <v>621</v>
      </c>
      <c r="BK20" s="245" t="s">
        <v>621</v>
      </c>
      <c r="BL20" s="262">
        <f>BL21</f>
        <v>3.875</v>
      </c>
      <c r="BM20" s="245" t="s">
        <v>621</v>
      </c>
      <c r="BN20" s="245">
        <f>BN21</f>
        <v>38</v>
      </c>
      <c r="BO20" s="245">
        <f>BO21</f>
        <v>1.26</v>
      </c>
      <c r="BP20" s="245" t="s">
        <v>621</v>
      </c>
      <c r="BQ20" s="245" t="s">
        <v>621</v>
      </c>
      <c r="BR20" s="245" t="s">
        <v>621</v>
      </c>
      <c r="BS20" s="245">
        <f>BS21</f>
        <v>0</v>
      </c>
      <c r="BT20" s="245" t="s">
        <v>621</v>
      </c>
      <c r="BU20" s="245">
        <f>BU21</f>
        <v>42</v>
      </c>
      <c r="BV20" s="245">
        <f>BV21</f>
        <v>6.87</v>
      </c>
      <c r="BW20" s="245" t="s">
        <v>621</v>
      </c>
      <c r="BX20" s="245" t="s">
        <v>621</v>
      </c>
      <c r="BY20" s="245" t="s">
        <v>621</v>
      </c>
      <c r="BZ20" s="262">
        <f>BZ21</f>
        <v>4.8949999999999996</v>
      </c>
      <c r="CA20" s="245" t="s">
        <v>621</v>
      </c>
      <c r="CB20" s="245" t="str">
        <f>CB21</f>
        <v>нд</v>
      </c>
      <c r="CC20" s="245">
        <f>CC21</f>
        <v>6.87</v>
      </c>
      <c r="CD20" s="245" t="s">
        <v>621</v>
      </c>
      <c r="CE20" s="245" t="s">
        <v>621</v>
      </c>
      <c r="CF20" s="245" t="s">
        <v>621</v>
      </c>
      <c r="CG20" s="245">
        <f>CG21</f>
        <v>4.8949999999999996</v>
      </c>
      <c r="CH20" s="245" t="s">
        <v>621</v>
      </c>
      <c r="CI20" s="245" t="str">
        <f>CI21</f>
        <v>нд</v>
      </c>
      <c r="CJ20" s="245" t="s">
        <v>621</v>
      </c>
      <c r="CK20" s="245" t="s">
        <v>621</v>
      </c>
      <c r="CL20" s="245" t="s">
        <v>621</v>
      </c>
      <c r="CM20" s="245" t="s">
        <v>621</v>
      </c>
      <c r="CN20" s="262">
        <f>CN21</f>
        <v>3.1389999999999998</v>
      </c>
      <c r="CO20" s="245" t="s">
        <v>621</v>
      </c>
      <c r="CP20" s="245">
        <f>CP21</f>
        <v>36</v>
      </c>
      <c r="CQ20" s="245" t="s">
        <v>621</v>
      </c>
      <c r="CR20" s="245" t="s">
        <v>621</v>
      </c>
      <c r="CS20" s="245" t="s">
        <v>621</v>
      </c>
      <c r="CT20" s="245" t="s">
        <v>621</v>
      </c>
      <c r="CU20" s="245">
        <f>CU21</f>
        <v>3.1389999999999998</v>
      </c>
      <c r="CV20" s="245" t="s">
        <v>621</v>
      </c>
      <c r="CW20" s="245">
        <f>CW21</f>
        <v>36</v>
      </c>
      <c r="CX20" s="245">
        <f>CX21</f>
        <v>11.33</v>
      </c>
      <c r="CY20" s="245" t="s">
        <v>621</v>
      </c>
      <c r="CZ20" s="245" t="s">
        <v>621</v>
      </c>
      <c r="DA20" s="245" t="s">
        <v>621</v>
      </c>
      <c r="DB20" s="257">
        <f>DB21</f>
        <v>22.911000000000001</v>
      </c>
      <c r="DC20" s="245" t="s">
        <v>621</v>
      </c>
      <c r="DD20" s="245">
        <v>11311</v>
      </c>
      <c r="DE20" s="245">
        <f>DE21</f>
        <v>12.59</v>
      </c>
      <c r="DF20" s="245" t="s">
        <v>621</v>
      </c>
      <c r="DG20" s="245" t="s">
        <v>621</v>
      </c>
      <c r="DH20" s="245" t="s">
        <v>621</v>
      </c>
      <c r="DI20" s="245">
        <f>DI21</f>
        <v>42.793999999999997</v>
      </c>
      <c r="DJ20" s="245" t="s">
        <v>621</v>
      </c>
      <c r="DK20" s="245">
        <v>11311</v>
      </c>
      <c r="DL20" s="245"/>
    </row>
    <row r="21" spans="1:116" s="186" customFormat="1" ht="30.75" x14ac:dyDescent="0.25">
      <c r="A21" s="153" t="s">
        <v>537</v>
      </c>
      <c r="B21" s="908" t="s">
        <v>691</v>
      </c>
      <c r="C21" s="911" t="s">
        <v>621</v>
      </c>
      <c r="D21" s="245">
        <f>D52</f>
        <v>11.33</v>
      </c>
      <c r="E21" s="245" t="s">
        <v>621</v>
      </c>
      <c r="F21" s="245" t="s">
        <v>621</v>
      </c>
      <c r="G21" s="245" t="s">
        <v>621</v>
      </c>
      <c r="H21" s="257">
        <f>H22</f>
        <v>22.911000000000001</v>
      </c>
      <c r="I21" s="245" t="s">
        <v>621</v>
      </c>
      <c r="J21" s="245">
        <v>11311</v>
      </c>
      <c r="K21" s="245">
        <f>K52</f>
        <v>13.33</v>
      </c>
      <c r="L21" s="245" t="s">
        <v>621</v>
      </c>
      <c r="M21" s="245" t="s">
        <v>621</v>
      </c>
      <c r="N21" s="245" t="s">
        <v>621</v>
      </c>
      <c r="O21" s="257">
        <f>O22</f>
        <v>23.925000000000001</v>
      </c>
      <c r="P21" s="245" t="s">
        <v>621</v>
      </c>
      <c r="Q21" s="245">
        <f>Q52+Q51+Q73</f>
        <v>11311</v>
      </c>
      <c r="R21" s="245" t="s">
        <v>621</v>
      </c>
      <c r="S21" s="245" t="s">
        <v>621</v>
      </c>
      <c r="T21" s="245" t="s">
        <v>621</v>
      </c>
      <c r="U21" s="245" t="s">
        <v>621</v>
      </c>
      <c r="V21" s="245" t="s">
        <v>621</v>
      </c>
      <c r="W21" s="245" t="s">
        <v>621</v>
      </c>
      <c r="X21" s="245" t="s">
        <v>621</v>
      </c>
      <c r="Y21" s="245" t="s">
        <v>621</v>
      </c>
      <c r="Z21" s="245" t="s">
        <v>621</v>
      </c>
      <c r="AA21" s="245" t="s">
        <v>621</v>
      </c>
      <c r="AB21" s="245" t="s">
        <v>621</v>
      </c>
      <c r="AC21" s="245" t="s">
        <v>621</v>
      </c>
      <c r="AD21" s="245" t="s">
        <v>621</v>
      </c>
      <c r="AE21" s="245" t="s">
        <v>621</v>
      </c>
      <c r="AF21" s="245">
        <f>AF52</f>
        <v>1.6</v>
      </c>
      <c r="AG21" s="245" t="s">
        <v>621</v>
      </c>
      <c r="AH21" s="245" t="s">
        <v>621</v>
      </c>
      <c r="AI21" s="245" t="s">
        <v>621</v>
      </c>
      <c r="AJ21" s="256">
        <f>AJ22</f>
        <v>4.6820000000000004</v>
      </c>
      <c r="AK21" s="245" t="s">
        <v>621</v>
      </c>
      <c r="AL21" s="245">
        <f>AL52</f>
        <v>28</v>
      </c>
      <c r="AM21" s="245">
        <f>AM52</f>
        <v>1.6</v>
      </c>
      <c r="AN21" s="245" t="s">
        <v>621</v>
      </c>
      <c r="AO21" s="245" t="s">
        <v>621</v>
      </c>
      <c r="AP21" s="245" t="s">
        <v>621</v>
      </c>
      <c r="AQ21" s="245">
        <f>AQ22</f>
        <v>4.6820000000000004</v>
      </c>
      <c r="AR21" s="245" t="s">
        <v>621</v>
      </c>
      <c r="AS21" s="245">
        <f>AS52</f>
        <v>28</v>
      </c>
      <c r="AT21" s="245">
        <f>AT52</f>
        <v>0.8</v>
      </c>
      <c r="AU21" s="245" t="s">
        <v>621</v>
      </c>
      <c r="AV21" s="245" t="s">
        <v>621</v>
      </c>
      <c r="AW21" s="245" t="s">
        <v>621</v>
      </c>
      <c r="AX21" s="262">
        <f>AX22</f>
        <v>6.32</v>
      </c>
      <c r="AY21" s="245" t="s">
        <v>621</v>
      </c>
      <c r="AZ21" s="245">
        <v>2783</v>
      </c>
      <c r="BA21" s="245">
        <f>BA52</f>
        <v>0.8</v>
      </c>
      <c r="BB21" s="245" t="s">
        <v>621</v>
      </c>
      <c r="BC21" s="245" t="s">
        <v>621</v>
      </c>
      <c r="BD21" s="245" t="s">
        <v>621</v>
      </c>
      <c r="BE21" s="245">
        <f>BE22</f>
        <v>19.243400000000001</v>
      </c>
      <c r="BF21" s="245" t="s">
        <v>621</v>
      </c>
      <c r="BG21" s="245">
        <f>BG52+BG49+BG73</f>
        <v>2786</v>
      </c>
      <c r="BH21" s="245">
        <f>BH52</f>
        <v>2.06</v>
      </c>
      <c r="BI21" s="245" t="s">
        <v>621</v>
      </c>
      <c r="BJ21" s="245" t="s">
        <v>621</v>
      </c>
      <c r="BK21" s="245" t="s">
        <v>621</v>
      </c>
      <c r="BL21" s="262">
        <f>BL22</f>
        <v>3.875</v>
      </c>
      <c r="BM21" s="245" t="s">
        <v>621</v>
      </c>
      <c r="BN21" s="245">
        <f>BN52</f>
        <v>38</v>
      </c>
      <c r="BO21" s="245">
        <f>BO52</f>
        <v>1.26</v>
      </c>
      <c r="BP21" s="245" t="s">
        <v>621</v>
      </c>
      <c r="BQ21" s="245" t="s">
        <v>621</v>
      </c>
      <c r="BR21" s="245" t="s">
        <v>621</v>
      </c>
      <c r="BS21" s="245">
        <f>BS22</f>
        <v>0</v>
      </c>
      <c r="BT21" s="245" t="s">
        <v>621</v>
      </c>
      <c r="BU21" s="245">
        <f>BU52</f>
        <v>42</v>
      </c>
      <c r="BV21" s="245">
        <f>BV52</f>
        <v>6.87</v>
      </c>
      <c r="BW21" s="245" t="s">
        <v>621</v>
      </c>
      <c r="BX21" s="245" t="s">
        <v>621</v>
      </c>
      <c r="BY21" s="245" t="s">
        <v>621</v>
      </c>
      <c r="BZ21" s="262">
        <f>BZ22</f>
        <v>4.8949999999999996</v>
      </c>
      <c r="CA21" s="245" t="s">
        <v>621</v>
      </c>
      <c r="CB21" s="245" t="str">
        <f>CB52</f>
        <v>нд</v>
      </c>
      <c r="CC21" s="245">
        <f>CC52</f>
        <v>6.87</v>
      </c>
      <c r="CD21" s="245" t="s">
        <v>621</v>
      </c>
      <c r="CE21" s="245" t="s">
        <v>621</v>
      </c>
      <c r="CF21" s="245" t="s">
        <v>621</v>
      </c>
      <c r="CG21" s="245">
        <f>CG22</f>
        <v>4.8949999999999996</v>
      </c>
      <c r="CH21" s="245" t="s">
        <v>621</v>
      </c>
      <c r="CI21" s="245" t="str">
        <f>CI52</f>
        <v>нд</v>
      </c>
      <c r="CJ21" s="245" t="s">
        <v>621</v>
      </c>
      <c r="CK21" s="245" t="s">
        <v>621</v>
      </c>
      <c r="CL21" s="245" t="s">
        <v>621</v>
      </c>
      <c r="CM21" s="245" t="s">
        <v>621</v>
      </c>
      <c r="CN21" s="262">
        <f>CN22</f>
        <v>3.1389999999999998</v>
      </c>
      <c r="CO21" s="245" t="s">
        <v>621</v>
      </c>
      <c r="CP21" s="245">
        <f>CP52</f>
        <v>36</v>
      </c>
      <c r="CQ21" s="245" t="s">
        <v>621</v>
      </c>
      <c r="CR21" s="245" t="s">
        <v>621</v>
      </c>
      <c r="CS21" s="245" t="s">
        <v>621</v>
      </c>
      <c r="CT21" s="245" t="s">
        <v>621</v>
      </c>
      <c r="CU21" s="245">
        <f>CU22</f>
        <v>3.1389999999999998</v>
      </c>
      <c r="CV21" s="245" t="s">
        <v>621</v>
      </c>
      <c r="CW21" s="245">
        <f>CW52</f>
        <v>36</v>
      </c>
      <c r="CX21" s="245">
        <f>CX52</f>
        <v>11.33</v>
      </c>
      <c r="CY21" s="245" t="s">
        <v>621</v>
      </c>
      <c r="CZ21" s="245" t="s">
        <v>621</v>
      </c>
      <c r="DA21" s="245" t="s">
        <v>621</v>
      </c>
      <c r="DB21" s="257">
        <f>DB22</f>
        <v>22.911000000000001</v>
      </c>
      <c r="DC21" s="245" t="s">
        <v>621</v>
      </c>
      <c r="DD21" s="245">
        <v>11311</v>
      </c>
      <c r="DE21" s="245">
        <f>DE52</f>
        <v>12.59</v>
      </c>
      <c r="DF21" s="245" t="s">
        <v>621</v>
      </c>
      <c r="DG21" s="245" t="s">
        <v>621</v>
      </c>
      <c r="DH21" s="245" t="s">
        <v>621</v>
      </c>
      <c r="DI21" s="245">
        <f>DI22</f>
        <v>42.793999999999997</v>
      </c>
      <c r="DJ21" s="245" t="s">
        <v>621</v>
      </c>
      <c r="DK21" s="245">
        <v>11311</v>
      </c>
      <c r="DL21" s="245"/>
    </row>
    <row r="22" spans="1:116" s="165" customFormat="1" ht="60.75" x14ac:dyDescent="0.25">
      <c r="A22" s="155" t="s">
        <v>545</v>
      </c>
      <c r="B22" s="175" t="s">
        <v>697</v>
      </c>
      <c r="C22" s="176" t="s">
        <v>621</v>
      </c>
      <c r="D22" s="247" t="s">
        <v>621</v>
      </c>
      <c r="E22" s="247" t="s">
        <v>621</v>
      </c>
      <c r="F22" s="247" t="s">
        <v>621</v>
      </c>
      <c r="G22" s="247" t="s">
        <v>621</v>
      </c>
      <c r="H22" s="258">
        <f>H23</f>
        <v>22.911000000000001</v>
      </c>
      <c r="I22" s="247" t="s">
        <v>621</v>
      </c>
      <c r="J22" s="247" t="s">
        <v>621</v>
      </c>
      <c r="K22" s="247" t="s">
        <v>621</v>
      </c>
      <c r="L22" s="247" t="s">
        <v>621</v>
      </c>
      <c r="M22" s="247" t="s">
        <v>621</v>
      </c>
      <c r="N22" s="247" t="s">
        <v>621</v>
      </c>
      <c r="O22" s="258">
        <f>O23</f>
        <v>23.925000000000001</v>
      </c>
      <c r="P22" s="247" t="s">
        <v>621</v>
      </c>
      <c r="Q22" s="247" t="s">
        <v>621</v>
      </c>
      <c r="R22" s="247" t="s">
        <v>621</v>
      </c>
      <c r="S22" s="247" t="s">
        <v>621</v>
      </c>
      <c r="T22" s="247" t="s">
        <v>621</v>
      </c>
      <c r="U22" s="247" t="s">
        <v>621</v>
      </c>
      <c r="V22" s="247" t="s">
        <v>621</v>
      </c>
      <c r="W22" s="247" t="s">
        <v>621</v>
      </c>
      <c r="X22" s="247" t="s">
        <v>621</v>
      </c>
      <c r="Y22" s="247" t="s">
        <v>621</v>
      </c>
      <c r="Z22" s="247" t="s">
        <v>621</v>
      </c>
      <c r="AA22" s="247" t="s">
        <v>621</v>
      </c>
      <c r="AB22" s="247" t="s">
        <v>621</v>
      </c>
      <c r="AC22" s="247" t="s">
        <v>621</v>
      </c>
      <c r="AD22" s="247" t="s">
        <v>621</v>
      </c>
      <c r="AE22" s="247" t="s">
        <v>621</v>
      </c>
      <c r="AF22" s="247" t="s">
        <v>621</v>
      </c>
      <c r="AG22" s="247" t="s">
        <v>621</v>
      </c>
      <c r="AH22" s="247" t="s">
        <v>621</v>
      </c>
      <c r="AI22" s="247" t="s">
        <v>621</v>
      </c>
      <c r="AJ22" s="263">
        <f>AJ23</f>
        <v>4.6820000000000004</v>
      </c>
      <c r="AK22" s="247" t="s">
        <v>621</v>
      </c>
      <c r="AL22" s="247" t="s">
        <v>621</v>
      </c>
      <c r="AM22" s="247" t="s">
        <v>621</v>
      </c>
      <c r="AN22" s="247" t="s">
        <v>621</v>
      </c>
      <c r="AO22" s="247" t="s">
        <v>621</v>
      </c>
      <c r="AP22" s="247" t="s">
        <v>621</v>
      </c>
      <c r="AQ22" s="247">
        <f>AQ23</f>
        <v>4.6820000000000004</v>
      </c>
      <c r="AR22" s="247" t="s">
        <v>621</v>
      </c>
      <c r="AS22" s="247" t="s">
        <v>621</v>
      </c>
      <c r="AT22" s="247" t="s">
        <v>621</v>
      </c>
      <c r="AU22" s="247" t="s">
        <v>621</v>
      </c>
      <c r="AV22" s="247" t="s">
        <v>621</v>
      </c>
      <c r="AW22" s="247" t="s">
        <v>621</v>
      </c>
      <c r="AX22" s="264">
        <f>AX23</f>
        <v>6.32</v>
      </c>
      <c r="AY22" s="247" t="s">
        <v>621</v>
      </c>
      <c r="AZ22" s="247" t="s">
        <v>621</v>
      </c>
      <c r="BA22" s="247" t="s">
        <v>621</v>
      </c>
      <c r="BB22" s="247" t="s">
        <v>621</v>
      </c>
      <c r="BC22" s="247" t="s">
        <v>621</v>
      </c>
      <c r="BD22" s="247" t="s">
        <v>621</v>
      </c>
      <c r="BE22" s="247">
        <f>BE23</f>
        <v>19.243400000000001</v>
      </c>
      <c r="BF22" s="247" t="s">
        <v>621</v>
      </c>
      <c r="BG22" s="247" t="s">
        <v>621</v>
      </c>
      <c r="BH22" s="247" t="s">
        <v>621</v>
      </c>
      <c r="BI22" s="247" t="s">
        <v>621</v>
      </c>
      <c r="BJ22" s="247" t="s">
        <v>621</v>
      </c>
      <c r="BK22" s="247" t="s">
        <v>621</v>
      </c>
      <c r="BL22" s="264">
        <f>BL23</f>
        <v>3.875</v>
      </c>
      <c r="BM22" s="247" t="s">
        <v>621</v>
      </c>
      <c r="BN22" s="247" t="s">
        <v>621</v>
      </c>
      <c r="BO22" s="247" t="s">
        <v>621</v>
      </c>
      <c r="BP22" s="247" t="s">
        <v>621</v>
      </c>
      <c r="BQ22" s="247" t="s">
        <v>621</v>
      </c>
      <c r="BR22" s="247" t="s">
        <v>621</v>
      </c>
      <c r="BS22" s="247">
        <f>BS23</f>
        <v>0</v>
      </c>
      <c r="BT22" s="247" t="s">
        <v>621</v>
      </c>
      <c r="BU22" s="247" t="s">
        <v>621</v>
      </c>
      <c r="BV22" s="247" t="s">
        <v>621</v>
      </c>
      <c r="BW22" s="247" t="s">
        <v>621</v>
      </c>
      <c r="BX22" s="247" t="s">
        <v>621</v>
      </c>
      <c r="BY22" s="247" t="s">
        <v>621</v>
      </c>
      <c r="BZ22" s="264">
        <f>BZ23</f>
        <v>4.8949999999999996</v>
      </c>
      <c r="CA22" s="247" t="s">
        <v>621</v>
      </c>
      <c r="CB22" s="247" t="s">
        <v>621</v>
      </c>
      <c r="CC22" s="247" t="s">
        <v>621</v>
      </c>
      <c r="CD22" s="247" t="s">
        <v>621</v>
      </c>
      <c r="CE22" s="247" t="s">
        <v>621</v>
      </c>
      <c r="CF22" s="247" t="s">
        <v>621</v>
      </c>
      <c r="CG22" s="247">
        <f>CG23</f>
        <v>4.8949999999999996</v>
      </c>
      <c r="CH22" s="247" t="s">
        <v>621</v>
      </c>
      <c r="CI22" s="247" t="s">
        <v>621</v>
      </c>
      <c r="CJ22" s="247" t="s">
        <v>621</v>
      </c>
      <c r="CK22" s="247" t="s">
        <v>621</v>
      </c>
      <c r="CL22" s="247" t="s">
        <v>621</v>
      </c>
      <c r="CM22" s="247" t="s">
        <v>621</v>
      </c>
      <c r="CN22" s="247">
        <f>CN23</f>
        <v>3.1389999999999998</v>
      </c>
      <c r="CO22" s="247" t="s">
        <v>621</v>
      </c>
      <c r="CP22" s="247" t="s">
        <v>621</v>
      </c>
      <c r="CQ22" s="247" t="s">
        <v>621</v>
      </c>
      <c r="CR22" s="247" t="s">
        <v>621</v>
      </c>
      <c r="CS22" s="247" t="s">
        <v>621</v>
      </c>
      <c r="CT22" s="247" t="s">
        <v>621</v>
      </c>
      <c r="CU22" s="247">
        <f>CU23</f>
        <v>3.1389999999999998</v>
      </c>
      <c r="CV22" s="247" t="s">
        <v>621</v>
      </c>
      <c r="CW22" s="247" t="s">
        <v>621</v>
      </c>
      <c r="CX22" s="247" t="s">
        <v>621</v>
      </c>
      <c r="CY22" s="247" t="s">
        <v>621</v>
      </c>
      <c r="CZ22" s="247" t="s">
        <v>621</v>
      </c>
      <c r="DA22" s="247" t="s">
        <v>621</v>
      </c>
      <c r="DB22" s="258">
        <f>DB23</f>
        <v>22.911000000000001</v>
      </c>
      <c r="DC22" s="247" t="s">
        <v>621</v>
      </c>
      <c r="DD22" s="247" t="s">
        <v>621</v>
      </c>
      <c r="DE22" s="247" t="s">
        <v>621</v>
      </c>
      <c r="DF22" s="247" t="s">
        <v>621</v>
      </c>
      <c r="DG22" s="247" t="s">
        <v>621</v>
      </c>
      <c r="DH22" s="247" t="s">
        <v>621</v>
      </c>
      <c r="DI22" s="247">
        <f>DI23</f>
        <v>42.793999999999997</v>
      </c>
      <c r="DJ22" s="247" t="s">
        <v>621</v>
      </c>
      <c r="DK22" s="247" t="s">
        <v>621</v>
      </c>
      <c r="DL22" s="247"/>
    </row>
    <row r="23" spans="1:116" s="186" customFormat="1" ht="40.5" x14ac:dyDescent="0.25">
      <c r="A23" s="153" t="s">
        <v>595</v>
      </c>
      <c r="B23" s="908" t="s">
        <v>746</v>
      </c>
      <c r="C23" s="911" t="s">
        <v>621</v>
      </c>
      <c r="D23" s="245" t="s">
        <v>621</v>
      </c>
      <c r="E23" s="245" t="s">
        <v>621</v>
      </c>
      <c r="F23" s="245" t="s">
        <v>621</v>
      </c>
      <c r="G23" s="245" t="s">
        <v>621</v>
      </c>
      <c r="H23" s="257">
        <f>SUM(H24:H35)</f>
        <v>22.911000000000001</v>
      </c>
      <c r="I23" s="245" t="s">
        <v>621</v>
      </c>
      <c r="J23" s="245" t="s">
        <v>621</v>
      </c>
      <c r="K23" s="245" t="s">
        <v>621</v>
      </c>
      <c r="L23" s="245" t="s">
        <v>621</v>
      </c>
      <c r="M23" s="245" t="s">
        <v>621</v>
      </c>
      <c r="N23" s="245" t="s">
        <v>621</v>
      </c>
      <c r="O23" s="257">
        <f>SUM(O24:O47)</f>
        <v>23.925000000000001</v>
      </c>
      <c r="P23" s="245" t="s">
        <v>621</v>
      </c>
      <c r="Q23" s="245" t="s">
        <v>621</v>
      </c>
      <c r="R23" s="245" t="s">
        <v>621</v>
      </c>
      <c r="S23" s="245" t="s">
        <v>621</v>
      </c>
      <c r="T23" s="245" t="s">
        <v>621</v>
      </c>
      <c r="U23" s="245" t="s">
        <v>621</v>
      </c>
      <c r="V23" s="245" t="s">
        <v>621</v>
      </c>
      <c r="W23" s="245" t="s">
        <v>621</v>
      </c>
      <c r="X23" s="245" t="s">
        <v>621</v>
      </c>
      <c r="Y23" s="245" t="s">
        <v>621</v>
      </c>
      <c r="Z23" s="245" t="s">
        <v>621</v>
      </c>
      <c r="AA23" s="245" t="s">
        <v>621</v>
      </c>
      <c r="AB23" s="245" t="s">
        <v>621</v>
      </c>
      <c r="AC23" s="245" t="s">
        <v>621</v>
      </c>
      <c r="AD23" s="245" t="s">
        <v>621</v>
      </c>
      <c r="AE23" s="245" t="s">
        <v>621</v>
      </c>
      <c r="AF23" s="245" t="s">
        <v>621</v>
      </c>
      <c r="AG23" s="245" t="s">
        <v>621</v>
      </c>
      <c r="AH23" s="245" t="s">
        <v>621</v>
      </c>
      <c r="AI23" s="245" t="s">
        <v>621</v>
      </c>
      <c r="AJ23" s="256">
        <f>SUM(AJ24:AJ35)</f>
        <v>4.6820000000000004</v>
      </c>
      <c r="AK23" s="245" t="s">
        <v>621</v>
      </c>
      <c r="AL23" s="245" t="s">
        <v>621</v>
      </c>
      <c r="AM23" s="245" t="s">
        <v>621</v>
      </c>
      <c r="AN23" s="245" t="s">
        <v>621</v>
      </c>
      <c r="AO23" s="245" t="s">
        <v>621</v>
      </c>
      <c r="AP23" s="245" t="s">
        <v>621</v>
      </c>
      <c r="AQ23" s="245">
        <f>SUM(AQ24:AQ35)</f>
        <v>4.6820000000000004</v>
      </c>
      <c r="AR23" s="245" t="s">
        <v>621</v>
      </c>
      <c r="AS23" s="245" t="s">
        <v>621</v>
      </c>
      <c r="AT23" s="245" t="s">
        <v>621</v>
      </c>
      <c r="AU23" s="245" t="s">
        <v>621</v>
      </c>
      <c r="AV23" s="245" t="s">
        <v>621</v>
      </c>
      <c r="AW23" s="245" t="s">
        <v>621</v>
      </c>
      <c r="AX23" s="245">
        <f>SUM(AX24:AX35)</f>
        <v>6.32</v>
      </c>
      <c r="AY23" s="245" t="s">
        <v>621</v>
      </c>
      <c r="AZ23" s="245" t="s">
        <v>621</v>
      </c>
      <c r="BA23" s="245" t="s">
        <v>621</v>
      </c>
      <c r="BB23" s="245" t="s">
        <v>621</v>
      </c>
      <c r="BC23" s="245" t="s">
        <v>621</v>
      </c>
      <c r="BD23" s="245" t="s">
        <v>621</v>
      </c>
      <c r="BE23" s="245">
        <f>SUM(BE24:BE47)</f>
        <v>19.243400000000001</v>
      </c>
      <c r="BF23" s="245" t="s">
        <v>621</v>
      </c>
      <c r="BG23" s="245" t="s">
        <v>621</v>
      </c>
      <c r="BH23" s="245" t="s">
        <v>621</v>
      </c>
      <c r="BI23" s="245" t="s">
        <v>621</v>
      </c>
      <c r="BJ23" s="245" t="s">
        <v>621</v>
      </c>
      <c r="BK23" s="245" t="s">
        <v>621</v>
      </c>
      <c r="BL23" s="245">
        <f>SUM(BL24:BL35)</f>
        <v>3.875</v>
      </c>
      <c r="BM23" s="245" t="s">
        <v>621</v>
      </c>
      <c r="BN23" s="245" t="s">
        <v>621</v>
      </c>
      <c r="BO23" s="245" t="s">
        <v>621</v>
      </c>
      <c r="BP23" s="245" t="s">
        <v>621</v>
      </c>
      <c r="BQ23" s="245" t="s">
        <v>621</v>
      </c>
      <c r="BR23" s="245" t="s">
        <v>621</v>
      </c>
      <c r="BS23" s="245"/>
      <c r="BT23" s="245" t="s">
        <v>621</v>
      </c>
      <c r="BU23" s="245" t="s">
        <v>621</v>
      </c>
      <c r="BV23" s="245" t="s">
        <v>621</v>
      </c>
      <c r="BW23" s="245" t="s">
        <v>621</v>
      </c>
      <c r="BX23" s="245" t="s">
        <v>621</v>
      </c>
      <c r="BY23" s="245" t="s">
        <v>621</v>
      </c>
      <c r="BZ23" s="245">
        <f>SUM(BZ24:BZ35)</f>
        <v>4.8949999999999996</v>
      </c>
      <c r="CA23" s="245" t="s">
        <v>621</v>
      </c>
      <c r="CB23" s="245" t="s">
        <v>621</v>
      </c>
      <c r="CC23" s="245" t="s">
        <v>621</v>
      </c>
      <c r="CD23" s="245" t="s">
        <v>621</v>
      </c>
      <c r="CE23" s="245" t="s">
        <v>621</v>
      </c>
      <c r="CF23" s="245" t="s">
        <v>621</v>
      </c>
      <c r="CG23" s="245">
        <f>SUM(CG24:CG35)</f>
        <v>4.8949999999999996</v>
      </c>
      <c r="CH23" s="245" t="s">
        <v>621</v>
      </c>
      <c r="CI23" s="245" t="s">
        <v>621</v>
      </c>
      <c r="CJ23" s="245" t="s">
        <v>621</v>
      </c>
      <c r="CK23" s="245" t="s">
        <v>621</v>
      </c>
      <c r="CL23" s="245" t="s">
        <v>621</v>
      </c>
      <c r="CM23" s="245" t="s">
        <v>621</v>
      </c>
      <c r="CN23" s="245">
        <f>SUM(CN24:CN35)</f>
        <v>3.1389999999999998</v>
      </c>
      <c r="CO23" s="245" t="s">
        <v>621</v>
      </c>
      <c r="CP23" s="245" t="s">
        <v>621</v>
      </c>
      <c r="CQ23" s="245" t="s">
        <v>621</v>
      </c>
      <c r="CR23" s="245" t="s">
        <v>621</v>
      </c>
      <c r="CS23" s="245" t="s">
        <v>621</v>
      </c>
      <c r="CT23" s="245" t="s">
        <v>621</v>
      </c>
      <c r="CU23" s="245">
        <f>SUM(CU24:CU35)</f>
        <v>3.1389999999999998</v>
      </c>
      <c r="CV23" s="245" t="s">
        <v>621</v>
      </c>
      <c r="CW23" s="245" t="s">
        <v>621</v>
      </c>
      <c r="CX23" s="245" t="s">
        <v>621</v>
      </c>
      <c r="CY23" s="245" t="s">
        <v>621</v>
      </c>
      <c r="CZ23" s="245" t="s">
        <v>621</v>
      </c>
      <c r="DA23" s="245" t="s">
        <v>621</v>
      </c>
      <c r="DB23" s="257">
        <f>SUM(DB24:DB35)</f>
        <v>22.911000000000001</v>
      </c>
      <c r="DC23" s="245" t="s">
        <v>621</v>
      </c>
      <c r="DD23" s="245" t="s">
        <v>621</v>
      </c>
      <c r="DE23" s="245" t="s">
        <v>621</v>
      </c>
      <c r="DF23" s="245" t="s">
        <v>621</v>
      </c>
      <c r="DG23" s="245" t="s">
        <v>621</v>
      </c>
      <c r="DH23" s="245" t="s">
        <v>621</v>
      </c>
      <c r="DI23" s="245">
        <f>SUM(DI24:DI48)</f>
        <v>42.793999999999997</v>
      </c>
      <c r="DJ23" s="245" t="s">
        <v>621</v>
      </c>
      <c r="DK23" s="245" t="s">
        <v>621</v>
      </c>
      <c r="DL23" s="245"/>
    </row>
    <row r="24" spans="1:116" s="340" customFormat="1" ht="37.5" customHeight="1" x14ac:dyDescent="0.25">
      <c r="A24" s="153" t="s">
        <v>814</v>
      </c>
      <c r="B24" s="908" t="s">
        <v>815</v>
      </c>
      <c r="C24" s="911" t="s">
        <v>1044</v>
      </c>
      <c r="D24" s="245" t="s">
        <v>621</v>
      </c>
      <c r="E24" s="245" t="s">
        <v>621</v>
      </c>
      <c r="F24" s="245" t="s">
        <v>621</v>
      </c>
      <c r="G24" s="245" t="s">
        <v>621</v>
      </c>
      <c r="H24" s="256">
        <f>'4'!CP25</f>
        <v>1.3</v>
      </c>
      <c r="I24" s="245" t="s">
        <v>621</v>
      </c>
      <c r="J24" s="245" t="s">
        <v>621</v>
      </c>
      <c r="K24" s="245" t="s">
        <v>621</v>
      </c>
      <c r="L24" s="245" t="s">
        <v>621</v>
      </c>
      <c r="M24" s="245" t="s">
        <v>621</v>
      </c>
      <c r="N24" s="245" t="s">
        <v>621</v>
      </c>
      <c r="O24" s="257">
        <v>1.3</v>
      </c>
      <c r="P24" s="245" t="s">
        <v>621</v>
      </c>
      <c r="Q24" s="245" t="s">
        <v>621</v>
      </c>
      <c r="R24" s="245" t="s">
        <v>621</v>
      </c>
      <c r="S24" s="245" t="s">
        <v>621</v>
      </c>
      <c r="T24" s="245" t="s">
        <v>621</v>
      </c>
      <c r="U24" s="245" t="s">
        <v>621</v>
      </c>
      <c r="V24" s="245" t="s">
        <v>621</v>
      </c>
      <c r="W24" s="245" t="s">
        <v>621</v>
      </c>
      <c r="X24" s="245" t="s">
        <v>621</v>
      </c>
      <c r="Y24" s="245" t="s">
        <v>621</v>
      </c>
      <c r="Z24" s="245" t="s">
        <v>621</v>
      </c>
      <c r="AA24" s="245" t="s">
        <v>621</v>
      </c>
      <c r="AB24" s="245" t="s">
        <v>621</v>
      </c>
      <c r="AC24" s="245" t="s">
        <v>621</v>
      </c>
      <c r="AD24" s="245" t="s">
        <v>621</v>
      </c>
      <c r="AE24" s="245" t="s">
        <v>621</v>
      </c>
      <c r="AF24" s="245" t="s">
        <v>621</v>
      </c>
      <c r="AG24" s="245" t="s">
        <v>621</v>
      </c>
      <c r="AH24" s="245" t="s">
        <v>621</v>
      </c>
      <c r="AI24" s="245" t="s">
        <v>621</v>
      </c>
      <c r="AJ24" s="256">
        <f>'4'!X25</f>
        <v>1.3</v>
      </c>
      <c r="AK24" s="245" t="s">
        <v>621</v>
      </c>
      <c r="AL24" s="245" t="s">
        <v>621</v>
      </c>
      <c r="AM24" s="245" t="s">
        <v>621</v>
      </c>
      <c r="AN24" s="245" t="s">
        <v>621</v>
      </c>
      <c r="AO24" s="245" t="s">
        <v>621</v>
      </c>
      <c r="AP24" s="245" t="s">
        <v>621</v>
      </c>
      <c r="AQ24" s="245">
        <v>1.3</v>
      </c>
      <c r="AR24" s="245" t="s">
        <v>621</v>
      </c>
      <c r="AS24" s="245" t="s">
        <v>621</v>
      </c>
      <c r="AT24" s="245" t="s">
        <v>621</v>
      </c>
      <c r="AU24" s="245" t="s">
        <v>621</v>
      </c>
      <c r="AV24" s="245" t="s">
        <v>621</v>
      </c>
      <c r="AW24" s="245" t="s">
        <v>621</v>
      </c>
      <c r="AX24" s="245">
        <f>'4'!AL25</f>
        <v>0</v>
      </c>
      <c r="AY24" s="245" t="s">
        <v>621</v>
      </c>
      <c r="AZ24" s="245" t="s">
        <v>621</v>
      </c>
      <c r="BA24" s="245" t="s">
        <v>621</v>
      </c>
      <c r="BB24" s="245" t="s">
        <v>621</v>
      </c>
      <c r="BC24" s="245" t="s">
        <v>621</v>
      </c>
      <c r="BD24" s="245" t="s">
        <v>621</v>
      </c>
      <c r="BE24" s="245">
        <f>'4'!AS25</f>
        <v>0</v>
      </c>
      <c r="BF24" s="245" t="s">
        <v>621</v>
      </c>
      <c r="BG24" s="245" t="s">
        <v>621</v>
      </c>
      <c r="BH24" s="245" t="s">
        <v>621</v>
      </c>
      <c r="BI24" s="245" t="s">
        <v>621</v>
      </c>
      <c r="BJ24" s="245" t="s">
        <v>621</v>
      </c>
      <c r="BK24" s="245" t="s">
        <v>621</v>
      </c>
      <c r="BL24" s="245">
        <f>'4'!AZ25</f>
        <v>0</v>
      </c>
      <c r="BM24" s="245" t="s">
        <v>621</v>
      </c>
      <c r="BN24" s="245" t="s">
        <v>621</v>
      </c>
      <c r="BO24" s="245" t="s">
        <v>621</v>
      </c>
      <c r="BP24" s="245" t="s">
        <v>621</v>
      </c>
      <c r="BQ24" s="245" t="s">
        <v>621</v>
      </c>
      <c r="BR24" s="245" t="s">
        <v>621</v>
      </c>
      <c r="BS24" s="245">
        <f>'4'!BG25</f>
        <v>0</v>
      </c>
      <c r="BT24" s="245" t="s">
        <v>621</v>
      </c>
      <c r="BU24" s="245" t="s">
        <v>621</v>
      </c>
      <c r="BV24" s="245" t="s">
        <v>621</v>
      </c>
      <c r="BW24" s="245" t="s">
        <v>621</v>
      </c>
      <c r="BX24" s="245" t="s">
        <v>621</v>
      </c>
      <c r="BY24" s="245" t="s">
        <v>621</v>
      </c>
      <c r="BZ24" s="245">
        <f>'4'!BN25</f>
        <v>0</v>
      </c>
      <c r="CA24" s="245" t="s">
        <v>621</v>
      </c>
      <c r="CB24" s="245" t="s">
        <v>621</v>
      </c>
      <c r="CC24" s="245" t="s">
        <v>621</v>
      </c>
      <c r="CD24" s="245" t="s">
        <v>621</v>
      </c>
      <c r="CE24" s="245" t="s">
        <v>621</v>
      </c>
      <c r="CF24" s="245" t="s">
        <v>621</v>
      </c>
      <c r="CG24" s="245">
        <v>0</v>
      </c>
      <c r="CH24" s="245" t="s">
        <v>621</v>
      </c>
      <c r="CI24" s="245" t="s">
        <v>621</v>
      </c>
      <c r="CJ24" s="245" t="s">
        <v>621</v>
      </c>
      <c r="CK24" s="245" t="s">
        <v>621</v>
      </c>
      <c r="CL24" s="245" t="s">
        <v>621</v>
      </c>
      <c r="CM24" s="245" t="s">
        <v>621</v>
      </c>
      <c r="CN24" s="245">
        <f>'4'!CB25</f>
        <v>0</v>
      </c>
      <c r="CO24" s="245" t="s">
        <v>621</v>
      </c>
      <c r="CP24" s="245" t="s">
        <v>621</v>
      </c>
      <c r="CQ24" s="245" t="s">
        <v>621</v>
      </c>
      <c r="CR24" s="245" t="s">
        <v>621</v>
      </c>
      <c r="CS24" s="245" t="s">
        <v>621</v>
      </c>
      <c r="CT24" s="245" t="s">
        <v>621</v>
      </c>
      <c r="CU24" s="245">
        <v>0</v>
      </c>
      <c r="CV24" s="245" t="s">
        <v>621</v>
      </c>
      <c r="CW24" s="245" t="s">
        <v>621</v>
      </c>
      <c r="CX24" s="245" t="s">
        <v>621</v>
      </c>
      <c r="CY24" s="245" t="s">
        <v>621</v>
      </c>
      <c r="CZ24" s="245" t="s">
        <v>621</v>
      </c>
      <c r="DA24" s="245" t="s">
        <v>621</v>
      </c>
      <c r="DB24" s="256">
        <f>H24</f>
        <v>1.3</v>
      </c>
      <c r="DC24" s="245" t="s">
        <v>621</v>
      </c>
      <c r="DD24" s="245" t="s">
        <v>621</v>
      </c>
      <c r="DE24" s="245" t="s">
        <v>621</v>
      </c>
      <c r="DF24" s="245" t="s">
        <v>621</v>
      </c>
      <c r="DG24" s="245" t="s">
        <v>621</v>
      </c>
      <c r="DH24" s="245" t="s">
        <v>621</v>
      </c>
      <c r="DI24" s="245">
        <v>1.3</v>
      </c>
      <c r="DJ24" s="245" t="s">
        <v>621</v>
      </c>
      <c r="DK24" s="245" t="s">
        <v>621</v>
      </c>
      <c r="DL24" s="245"/>
    </row>
    <row r="25" spans="1:116" s="340" customFormat="1" ht="44.25" customHeight="1" x14ac:dyDescent="0.25">
      <c r="A25" s="153" t="s">
        <v>813</v>
      </c>
      <c r="B25" s="908" t="s">
        <v>859</v>
      </c>
      <c r="C25" s="911" t="s">
        <v>1045</v>
      </c>
      <c r="D25" s="245" t="s">
        <v>621</v>
      </c>
      <c r="E25" s="245" t="s">
        <v>621</v>
      </c>
      <c r="F25" s="245" t="s">
        <v>621</v>
      </c>
      <c r="G25" s="245" t="s">
        <v>621</v>
      </c>
      <c r="H25" s="256">
        <f>'4'!CP26</f>
        <v>0.45300000000000001</v>
      </c>
      <c r="I25" s="245" t="s">
        <v>621</v>
      </c>
      <c r="J25" s="245" t="s">
        <v>621</v>
      </c>
      <c r="K25" s="245" t="s">
        <v>621</v>
      </c>
      <c r="L25" s="245" t="s">
        <v>621</v>
      </c>
      <c r="M25" s="245" t="s">
        <v>621</v>
      </c>
      <c r="N25" s="245" t="s">
        <v>621</v>
      </c>
      <c r="O25" s="257">
        <v>0.45300000000000001</v>
      </c>
      <c r="P25" s="245" t="s">
        <v>621</v>
      </c>
      <c r="Q25" s="245" t="s">
        <v>621</v>
      </c>
      <c r="R25" s="245" t="s">
        <v>621</v>
      </c>
      <c r="S25" s="245" t="s">
        <v>621</v>
      </c>
      <c r="T25" s="245" t="s">
        <v>621</v>
      </c>
      <c r="U25" s="245" t="s">
        <v>621</v>
      </c>
      <c r="V25" s="245" t="s">
        <v>621</v>
      </c>
      <c r="W25" s="245" t="s">
        <v>621</v>
      </c>
      <c r="X25" s="245" t="s">
        <v>621</v>
      </c>
      <c r="Y25" s="245" t="s">
        <v>621</v>
      </c>
      <c r="Z25" s="245" t="s">
        <v>621</v>
      </c>
      <c r="AA25" s="245" t="s">
        <v>621</v>
      </c>
      <c r="AB25" s="245" t="s">
        <v>621</v>
      </c>
      <c r="AC25" s="245" t="s">
        <v>621</v>
      </c>
      <c r="AD25" s="245" t="s">
        <v>621</v>
      </c>
      <c r="AE25" s="245" t="s">
        <v>621</v>
      </c>
      <c r="AF25" s="245" t="s">
        <v>621</v>
      </c>
      <c r="AG25" s="245" t="s">
        <v>621</v>
      </c>
      <c r="AH25" s="245" t="s">
        <v>621</v>
      </c>
      <c r="AI25" s="245" t="s">
        <v>621</v>
      </c>
      <c r="AJ25" s="256">
        <f>'4'!X26</f>
        <v>0.45300000000000001</v>
      </c>
      <c r="AK25" s="245" t="s">
        <v>621</v>
      </c>
      <c r="AL25" s="245" t="s">
        <v>621</v>
      </c>
      <c r="AM25" s="245" t="s">
        <v>621</v>
      </c>
      <c r="AN25" s="245" t="s">
        <v>621</v>
      </c>
      <c r="AO25" s="245" t="s">
        <v>621</v>
      </c>
      <c r="AP25" s="245" t="s">
        <v>621</v>
      </c>
      <c r="AQ25" s="245">
        <v>0.45300000000000001</v>
      </c>
      <c r="AR25" s="245" t="s">
        <v>621</v>
      </c>
      <c r="AS25" s="245" t="s">
        <v>621</v>
      </c>
      <c r="AT25" s="245" t="s">
        <v>621</v>
      </c>
      <c r="AU25" s="245" t="s">
        <v>621</v>
      </c>
      <c r="AV25" s="245" t="s">
        <v>621</v>
      </c>
      <c r="AW25" s="245" t="s">
        <v>621</v>
      </c>
      <c r="AX25" s="245">
        <f>'4'!AL26</f>
        <v>0</v>
      </c>
      <c r="AY25" s="245" t="s">
        <v>621</v>
      </c>
      <c r="AZ25" s="245" t="s">
        <v>621</v>
      </c>
      <c r="BA25" s="245" t="s">
        <v>621</v>
      </c>
      <c r="BB25" s="245" t="s">
        <v>621</v>
      </c>
      <c r="BC25" s="245" t="s">
        <v>621</v>
      </c>
      <c r="BD25" s="245" t="s">
        <v>621</v>
      </c>
      <c r="BE25" s="245">
        <f>'4'!AS26</f>
        <v>0</v>
      </c>
      <c r="BF25" s="245" t="s">
        <v>621</v>
      </c>
      <c r="BG25" s="245" t="s">
        <v>621</v>
      </c>
      <c r="BH25" s="245" t="s">
        <v>621</v>
      </c>
      <c r="BI25" s="245" t="s">
        <v>621</v>
      </c>
      <c r="BJ25" s="245" t="s">
        <v>621</v>
      </c>
      <c r="BK25" s="245" t="s">
        <v>621</v>
      </c>
      <c r="BL25" s="245">
        <f>'4'!AZ26</f>
        <v>0</v>
      </c>
      <c r="BM25" s="245" t="s">
        <v>621</v>
      </c>
      <c r="BN25" s="245" t="s">
        <v>621</v>
      </c>
      <c r="BO25" s="245" t="s">
        <v>621</v>
      </c>
      <c r="BP25" s="245" t="s">
        <v>621</v>
      </c>
      <c r="BQ25" s="245" t="s">
        <v>621</v>
      </c>
      <c r="BR25" s="245" t="s">
        <v>621</v>
      </c>
      <c r="BS25" s="245">
        <f>'4'!BG26</f>
        <v>0</v>
      </c>
      <c r="BT25" s="245" t="s">
        <v>621</v>
      </c>
      <c r="BU25" s="245" t="s">
        <v>621</v>
      </c>
      <c r="BV25" s="245" t="s">
        <v>621</v>
      </c>
      <c r="BW25" s="245" t="s">
        <v>621</v>
      </c>
      <c r="BX25" s="245" t="s">
        <v>621</v>
      </c>
      <c r="BY25" s="245" t="s">
        <v>621</v>
      </c>
      <c r="BZ25" s="245">
        <f>'4'!BN26</f>
        <v>0</v>
      </c>
      <c r="CA25" s="245" t="s">
        <v>621</v>
      </c>
      <c r="CB25" s="245" t="s">
        <v>621</v>
      </c>
      <c r="CC25" s="245" t="s">
        <v>621</v>
      </c>
      <c r="CD25" s="245" t="s">
        <v>621</v>
      </c>
      <c r="CE25" s="245" t="s">
        <v>621</v>
      </c>
      <c r="CF25" s="245" t="s">
        <v>621</v>
      </c>
      <c r="CG25" s="245">
        <v>0</v>
      </c>
      <c r="CH25" s="245" t="s">
        <v>621</v>
      </c>
      <c r="CI25" s="245" t="s">
        <v>621</v>
      </c>
      <c r="CJ25" s="245" t="s">
        <v>621</v>
      </c>
      <c r="CK25" s="245" t="s">
        <v>621</v>
      </c>
      <c r="CL25" s="245" t="s">
        <v>621</v>
      </c>
      <c r="CM25" s="245" t="s">
        <v>621</v>
      </c>
      <c r="CN25" s="245">
        <f>'4'!CB26</f>
        <v>0</v>
      </c>
      <c r="CO25" s="245" t="s">
        <v>621</v>
      </c>
      <c r="CP25" s="245" t="s">
        <v>621</v>
      </c>
      <c r="CQ25" s="245" t="s">
        <v>621</v>
      </c>
      <c r="CR25" s="245" t="s">
        <v>621</v>
      </c>
      <c r="CS25" s="245" t="s">
        <v>621</v>
      </c>
      <c r="CT25" s="245" t="s">
        <v>621</v>
      </c>
      <c r="CU25" s="245">
        <v>0</v>
      </c>
      <c r="CV25" s="245" t="s">
        <v>621</v>
      </c>
      <c r="CW25" s="245" t="s">
        <v>621</v>
      </c>
      <c r="CX25" s="245" t="s">
        <v>621</v>
      </c>
      <c r="CY25" s="245" t="s">
        <v>621</v>
      </c>
      <c r="CZ25" s="245" t="s">
        <v>621</v>
      </c>
      <c r="DA25" s="245" t="s">
        <v>621</v>
      </c>
      <c r="DB25" s="256">
        <f t="shared" ref="DB25:DB35" si="0">H25</f>
        <v>0.45300000000000001</v>
      </c>
      <c r="DC25" s="245" t="s">
        <v>621</v>
      </c>
      <c r="DD25" s="245" t="s">
        <v>621</v>
      </c>
      <c r="DE25" s="245" t="s">
        <v>621</v>
      </c>
      <c r="DF25" s="245" t="s">
        <v>621</v>
      </c>
      <c r="DG25" s="245" t="s">
        <v>621</v>
      </c>
      <c r="DH25" s="245" t="s">
        <v>621</v>
      </c>
      <c r="DI25" s="245">
        <v>0.45300000000000001</v>
      </c>
      <c r="DJ25" s="245" t="s">
        <v>621</v>
      </c>
      <c r="DK25" s="245" t="s">
        <v>621</v>
      </c>
      <c r="DL25" s="245"/>
    </row>
    <row r="26" spans="1:116" s="492" customFormat="1" ht="87.75" customHeight="1" x14ac:dyDescent="0.25">
      <c r="A26" s="153" t="s">
        <v>817</v>
      </c>
      <c r="B26" s="908" t="s">
        <v>934</v>
      </c>
      <c r="C26" s="911" t="s">
        <v>1046</v>
      </c>
      <c r="D26" s="245" t="s">
        <v>621</v>
      </c>
      <c r="E26" s="245" t="s">
        <v>621</v>
      </c>
      <c r="F26" s="245" t="s">
        <v>621</v>
      </c>
      <c r="G26" s="245" t="s">
        <v>621</v>
      </c>
      <c r="H26" s="256">
        <f>'4'!CP27</f>
        <v>2.9289999999999998</v>
      </c>
      <c r="I26" s="245" t="s">
        <v>621</v>
      </c>
      <c r="J26" s="245" t="s">
        <v>621</v>
      </c>
      <c r="K26" s="245" t="s">
        <v>621</v>
      </c>
      <c r="L26" s="245" t="s">
        <v>621</v>
      </c>
      <c r="M26" s="245" t="s">
        <v>621</v>
      </c>
      <c r="N26" s="245" t="s">
        <v>621</v>
      </c>
      <c r="O26" s="257">
        <f>'4'!CW27</f>
        <v>2.9289999999999998</v>
      </c>
      <c r="P26" s="245" t="s">
        <v>621</v>
      </c>
      <c r="Q26" s="245" t="s">
        <v>621</v>
      </c>
      <c r="R26" s="245" t="s">
        <v>621</v>
      </c>
      <c r="S26" s="245" t="s">
        <v>621</v>
      </c>
      <c r="T26" s="245" t="s">
        <v>621</v>
      </c>
      <c r="U26" s="245" t="s">
        <v>621</v>
      </c>
      <c r="V26" s="245" t="s">
        <v>621</v>
      </c>
      <c r="W26" s="245" t="s">
        <v>621</v>
      </c>
      <c r="X26" s="245" t="s">
        <v>621</v>
      </c>
      <c r="Y26" s="245" t="s">
        <v>621</v>
      </c>
      <c r="Z26" s="245" t="s">
        <v>621</v>
      </c>
      <c r="AA26" s="245" t="s">
        <v>621</v>
      </c>
      <c r="AB26" s="245" t="s">
        <v>621</v>
      </c>
      <c r="AC26" s="245" t="s">
        <v>621</v>
      </c>
      <c r="AD26" s="245" t="s">
        <v>621</v>
      </c>
      <c r="AE26" s="245" t="s">
        <v>621</v>
      </c>
      <c r="AF26" s="245" t="s">
        <v>621</v>
      </c>
      <c r="AG26" s="245" t="s">
        <v>621</v>
      </c>
      <c r="AH26" s="245" t="s">
        <v>621</v>
      </c>
      <c r="AI26" s="245" t="s">
        <v>621</v>
      </c>
      <c r="AJ26" s="256">
        <f>'4'!X27</f>
        <v>2.9289999999999998</v>
      </c>
      <c r="AK26" s="245" t="s">
        <v>621</v>
      </c>
      <c r="AL26" s="245" t="s">
        <v>621</v>
      </c>
      <c r="AM26" s="245" t="s">
        <v>621</v>
      </c>
      <c r="AN26" s="245" t="s">
        <v>621</v>
      </c>
      <c r="AO26" s="245" t="s">
        <v>621</v>
      </c>
      <c r="AP26" s="245" t="s">
        <v>621</v>
      </c>
      <c r="AQ26" s="245">
        <f>O26</f>
        <v>2.9289999999999998</v>
      </c>
      <c r="AR26" s="245" t="s">
        <v>621</v>
      </c>
      <c r="AS26" s="245" t="s">
        <v>621</v>
      </c>
      <c r="AT26" s="245" t="s">
        <v>621</v>
      </c>
      <c r="AU26" s="245" t="s">
        <v>621</v>
      </c>
      <c r="AV26" s="245" t="s">
        <v>621</v>
      </c>
      <c r="AW26" s="245" t="s">
        <v>621</v>
      </c>
      <c r="AX26" s="245">
        <f>'4'!AL27</f>
        <v>0</v>
      </c>
      <c r="AY26" s="245" t="s">
        <v>621</v>
      </c>
      <c r="AZ26" s="245" t="s">
        <v>621</v>
      </c>
      <c r="BA26" s="245" t="s">
        <v>621</v>
      </c>
      <c r="BB26" s="245" t="s">
        <v>621</v>
      </c>
      <c r="BC26" s="245" t="s">
        <v>621</v>
      </c>
      <c r="BD26" s="245" t="s">
        <v>621</v>
      </c>
      <c r="BE26" s="245">
        <f>'4'!AS27</f>
        <v>0</v>
      </c>
      <c r="BF26" s="245" t="s">
        <v>621</v>
      </c>
      <c r="BG26" s="245" t="s">
        <v>621</v>
      </c>
      <c r="BH26" s="245" t="s">
        <v>621</v>
      </c>
      <c r="BI26" s="245" t="s">
        <v>621</v>
      </c>
      <c r="BJ26" s="245" t="s">
        <v>621</v>
      </c>
      <c r="BK26" s="245" t="s">
        <v>621</v>
      </c>
      <c r="BL26" s="245">
        <f>'4'!AZ27</f>
        <v>0</v>
      </c>
      <c r="BM26" s="245" t="s">
        <v>621</v>
      </c>
      <c r="BN26" s="245" t="s">
        <v>621</v>
      </c>
      <c r="BO26" s="245" t="s">
        <v>621</v>
      </c>
      <c r="BP26" s="245" t="s">
        <v>621</v>
      </c>
      <c r="BQ26" s="245" t="s">
        <v>621</v>
      </c>
      <c r="BR26" s="245" t="s">
        <v>621</v>
      </c>
      <c r="BS26" s="245">
        <f>'4'!BG27</f>
        <v>0</v>
      </c>
      <c r="BT26" s="245" t="s">
        <v>621</v>
      </c>
      <c r="BU26" s="245" t="s">
        <v>621</v>
      </c>
      <c r="BV26" s="245" t="s">
        <v>621</v>
      </c>
      <c r="BW26" s="245" t="s">
        <v>621</v>
      </c>
      <c r="BX26" s="245" t="s">
        <v>621</v>
      </c>
      <c r="BY26" s="245" t="s">
        <v>621</v>
      </c>
      <c r="BZ26" s="245">
        <f>'4'!BN27</f>
        <v>0</v>
      </c>
      <c r="CA26" s="245" t="s">
        <v>621</v>
      </c>
      <c r="CB26" s="245" t="s">
        <v>621</v>
      </c>
      <c r="CC26" s="245" t="s">
        <v>621</v>
      </c>
      <c r="CD26" s="245" t="s">
        <v>621</v>
      </c>
      <c r="CE26" s="245" t="s">
        <v>621</v>
      </c>
      <c r="CF26" s="245" t="s">
        <v>621</v>
      </c>
      <c r="CG26" s="245">
        <v>0</v>
      </c>
      <c r="CH26" s="245" t="s">
        <v>621</v>
      </c>
      <c r="CI26" s="245" t="s">
        <v>621</v>
      </c>
      <c r="CJ26" s="245" t="s">
        <v>621</v>
      </c>
      <c r="CK26" s="245" t="s">
        <v>621</v>
      </c>
      <c r="CL26" s="245" t="s">
        <v>621</v>
      </c>
      <c r="CM26" s="245" t="s">
        <v>621</v>
      </c>
      <c r="CN26" s="245">
        <f>'4'!CB27</f>
        <v>0</v>
      </c>
      <c r="CO26" s="245" t="s">
        <v>621</v>
      </c>
      <c r="CP26" s="245" t="s">
        <v>621</v>
      </c>
      <c r="CQ26" s="245" t="s">
        <v>621</v>
      </c>
      <c r="CR26" s="245" t="s">
        <v>621</v>
      </c>
      <c r="CS26" s="245" t="s">
        <v>621</v>
      </c>
      <c r="CT26" s="245" t="s">
        <v>621</v>
      </c>
      <c r="CU26" s="245">
        <v>0</v>
      </c>
      <c r="CV26" s="245" t="s">
        <v>621</v>
      </c>
      <c r="CW26" s="245" t="s">
        <v>621</v>
      </c>
      <c r="CX26" s="245" t="s">
        <v>621</v>
      </c>
      <c r="CY26" s="245" t="s">
        <v>621</v>
      </c>
      <c r="CZ26" s="245" t="s">
        <v>621</v>
      </c>
      <c r="DA26" s="245" t="s">
        <v>621</v>
      </c>
      <c r="DB26" s="256">
        <f t="shared" si="0"/>
        <v>2.9289999999999998</v>
      </c>
      <c r="DC26" s="245" t="s">
        <v>621</v>
      </c>
      <c r="DD26" s="245" t="s">
        <v>621</v>
      </c>
      <c r="DE26" s="245" t="s">
        <v>621</v>
      </c>
      <c r="DF26" s="245" t="s">
        <v>621</v>
      </c>
      <c r="DG26" s="245" t="s">
        <v>621</v>
      </c>
      <c r="DH26" s="245" t="s">
        <v>621</v>
      </c>
      <c r="DI26" s="245">
        <f>AQ26</f>
        <v>2.9289999999999998</v>
      </c>
      <c r="DJ26" s="245" t="s">
        <v>621</v>
      </c>
      <c r="DK26" s="245" t="s">
        <v>621</v>
      </c>
      <c r="DL26" s="283"/>
    </row>
    <row r="27" spans="1:116" s="340" customFormat="1" ht="69" customHeight="1" x14ac:dyDescent="0.25">
      <c r="A27" s="153" t="s">
        <v>819</v>
      </c>
      <c r="B27" s="908" t="s">
        <v>816</v>
      </c>
      <c r="C27" s="911" t="s">
        <v>1047</v>
      </c>
      <c r="D27" s="245" t="s">
        <v>621</v>
      </c>
      <c r="E27" s="245" t="s">
        <v>621</v>
      </c>
      <c r="F27" s="245" t="s">
        <v>621</v>
      </c>
      <c r="G27" s="245" t="s">
        <v>621</v>
      </c>
      <c r="H27" s="256">
        <f>'4'!CP28</f>
        <v>1.0109999999999999</v>
      </c>
      <c r="I27" s="245" t="s">
        <v>621</v>
      </c>
      <c r="J27" s="245" t="s">
        <v>621</v>
      </c>
      <c r="K27" s="245" t="s">
        <v>621</v>
      </c>
      <c r="L27" s="245" t="s">
        <v>621</v>
      </c>
      <c r="M27" s="245" t="s">
        <v>621</v>
      </c>
      <c r="N27" s="245" t="s">
        <v>621</v>
      </c>
      <c r="O27" s="257">
        <f>'4'!AS28</f>
        <v>4.3159999999999998</v>
      </c>
      <c r="P27" s="245" t="s">
        <v>621</v>
      </c>
      <c r="Q27" s="245" t="s">
        <v>621</v>
      </c>
      <c r="R27" s="245" t="s">
        <v>621</v>
      </c>
      <c r="S27" s="245" t="s">
        <v>621</v>
      </c>
      <c r="T27" s="245" t="s">
        <v>621</v>
      </c>
      <c r="U27" s="245" t="s">
        <v>621</v>
      </c>
      <c r="V27" s="245" t="s">
        <v>621</v>
      </c>
      <c r="W27" s="245" t="s">
        <v>621</v>
      </c>
      <c r="X27" s="245" t="s">
        <v>621</v>
      </c>
      <c r="Y27" s="245" t="s">
        <v>621</v>
      </c>
      <c r="Z27" s="245" t="s">
        <v>621</v>
      </c>
      <c r="AA27" s="245" t="s">
        <v>621</v>
      </c>
      <c r="AB27" s="245" t="s">
        <v>621</v>
      </c>
      <c r="AC27" s="245" t="s">
        <v>621</v>
      </c>
      <c r="AD27" s="245" t="s">
        <v>621</v>
      </c>
      <c r="AE27" s="245" t="s">
        <v>621</v>
      </c>
      <c r="AF27" s="245" t="s">
        <v>621</v>
      </c>
      <c r="AG27" s="245" t="s">
        <v>621</v>
      </c>
      <c r="AH27" s="245" t="s">
        <v>621</v>
      </c>
      <c r="AI27" s="245" t="s">
        <v>621</v>
      </c>
      <c r="AJ27" s="256">
        <f>'4'!X28</f>
        <v>0</v>
      </c>
      <c r="AK27" s="245" t="s">
        <v>621</v>
      </c>
      <c r="AL27" s="245" t="s">
        <v>621</v>
      </c>
      <c r="AM27" s="245" t="s">
        <v>621</v>
      </c>
      <c r="AN27" s="245" t="s">
        <v>621</v>
      </c>
      <c r="AO27" s="245" t="s">
        <v>621</v>
      </c>
      <c r="AP27" s="245" t="s">
        <v>621</v>
      </c>
      <c r="AQ27" s="245">
        <v>0</v>
      </c>
      <c r="AR27" s="245" t="s">
        <v>621</v>
      </c>
      <c r="AS27" s="245" t="s">
        <v>621</v>
      </c>
      <c r="AT27" s="245" t="s">
        <v>621</v>
      </c>
      <c r="AU27" s="245" t="s">
        <v>621</v>
      </c>
      <c r="AV27" s="245" t="s">
        <v>621</v>
      </c>
      <c r="AW27" s="245" t="s">
        <v>621</v>
      </c>
      <c r="AX27" s="257">
        <f>DB27</f>
        <v>1.0109999999999999</v>
      </c>
      <c r="AY27" s="245" t="s">
        <v>621</v>
      </c>
      <c r="AZ27" s="245" t="s">
        <v>621</v>
      </c>
      <c r="BA27" s="245" t="s">
        <v>621</v>
      </c>
      <c r="BB27" s="245" t="s">
        <v>621</v>
      </c>
      <c r="BC27" s="245" t="s">
        <v>621</v>
      </c>
      <c r="BD27" s="245" t="s">
        <v>621</v>
      </c>
      <c r="BE27" s="245">
        <f>'4'!AS28</f>
        <v>4.3159999999999998</v>
      </c>
      <c r="BF27" s="245" t="s">
        <v>621</v>
      </c>
      <c r="BG27" s="245" t="s">
        <v>621</v>
      </c>
      <c r="BH27" s="245" t="s">
        <v>621</v>
      </c>
      <c r="BI27" s="245" t="s">
        <v>621</v>
      </c>
      <c r="BJ27" s="245" t="s">
        <v>621</v>
      </c>
      <c r="BK27" s="245" t="s">
        <v>621</v>
      </c>
      <c r="BL27" s="245">
        <f>'4'!AZ28</f>
        <v>0</v>
      </c>
      <c r="BM27" s="245" t="s">
        <v>621</v>
      </c>
      <c r="BN27" s="245" t="s">
        <v>621</v>
      </c>
      <c r="BO27" s="245" t="s">
        <v>621</v>
      </c>
      <c r="BP27" s="245" t="s">
        <v>621</v>
      </c>
      <c r="BQ27" s="245" t="s">
        <v>621</v>
      </c>
      <c r="BR27" s="245" t="s">
        <v>621</v>
      </c>
      <c r="BS27" s="245">
        <f>'4'!BG28</f>
        <v>0</v>
      </c>
      <c r="BT27" s="245" t="s">
        <v>621</v>
      </c>
      <c r="BU27" s="245" t="s">
        <v>621</v>
      </c>
      <c r="BV27" s="245" t="s">
        <v>621</v>
      </c>
      <c r="BW27" s="245" t="s">
        <v>621</v>
      </c>
      <c r="BX27" s="245" t="s">
        <v>621</v>
      </c>
      <c r="BY27" s="245" t="s">
        <v>621</v>
      </c>
      <c r="BZ27" s="245">
        <f>'4'!BN28</f>
        <v>0</v>
      </c>
      <c r="CA27" s="245" t="s">
        <v>621</v>
      </c>
      <c r="CB27" s="245" t="s">
        <v>621</v>
      </c>
      <c r="CC27" s="245" t="s">
        <v>621</v>
      </c>
      <c r="CD27" s="245" t="s">
        <v>621</v>
      </c>
      <c r="CE27" s="245" t="s">
        <v>621</v>
      </c>
      <c r="CF27" s="245" t="s">
        <v>621</v>
      </c>
      <c r="CG27" s="245">
        <v>0</v>
      </c>
      <c r="CH27" s="245" t="s">
        <v>621</v>
      </c>
      <c r="CI27" s="245" t="s">
        <v>621</v>
      </c>
      <c r="CJ27" s="245" t="s">
        <v>621</v>
      </c>
      <c r="CK27" s="245" t="s">
        <v>621</v>
      </c>
      <c r="CL27" s="245" t="s">
        <v>621</v>
      </c>
      <c r="CM27" s="245" t="s">
        <v>621</v>
      </c>
      <c r="CN27" s="245">
        <f>'4'!CB28</f>
        <v>0</v>
      </c>
      <c r="CO27" s="245" t="s">
        <v>621</v>
      </c>
      <c r="CP27" s="245" t="s">
        <v>621</v>
      </c>
      <c r="CQ27" s="245" t="s">
        <v>621</v>
      </c>
      <c r="CR27" s="245" t="s">
        <v>621</v>
      </c>
      <c r="CS27" s="245" t="s">
        <v>621</v>
      </c>
      <c r="CT27" s="245" t="s">
        <v>621</v>
      </c>
      <c r="CU27" s="245">
        <v>0</v>
      </c>
      <c r="CV27" s="245" t="s">
        <v>621</v>
      </c>
      <c r="CW27" s="245" t="s">
        <v>621</v>
      </c>
      <c r="CX27" s="245" t="s">
        <v>621</v>
      </c>
      <c r="CY27" s="245" t="s">
        <v>621</v>
      </c>
      <c r="CZ27" s="245" t="s">
        <v>621</v>
      </c>
      <c r="DA27" s="245" t="s">
        <v>621</v>
      </c>
      <c r="DB27" s="256">
        <f t="shared" si="0"/>
        <v>1.0109999999999999</v>
      </c>
      <c r="DC27" s="245" t="s">
        <v>621</v>
      </c>
      <c r="DD27" s="245" t="s">
        <v>621</v>
      </c>
      <c r="DE27" s="245" t="s">
        <v>621</v>
      </c>
      <c r="DF27" s="245" t="s">
        <v>621</v>
      </c>
      <c r="DG27" s="245" t="s">
        <v>621</v>
      </c>
      <c r="DH27" s="245" t="s">
        <v>621</v>
      </c>
      <c r="DI27" s="245">
        <f>BE27</f>
        <v>4.3159999999999998</v>
      </c>
      <c r="DJ27" s="245" t="s">
        <v>621</v>
      </c>
      <c r="DK27" s="245" t="s">
        <v>621</v>
      </c>
      <c r="DL27" s="245"/>
    </row>
    <row r="28" spans="1:116" s="340" customFormat="1" ht="86.25" customHeight="1" x14ac:dyDescent="0.25">
      <c r="A28" s="153" t="s">
        <v>820</v>
      </c>
      <c r="B28" s="908" t="s">
        <v>903</v>
      </c>
      <c r="C28" s="911" t="s">
        <v>1048</v>
      </c>
      <c r="D28" s="245" t="s">
        <v>621</v>
      </c>
      <c r="E28" s="245" t="s">
        <v>621</v>
      </c>
      <c r="F28" s="245" t="s">
        <v>621</v>
      </c>
      <c r="G28" s="245" t="s">
        <v>621</v>
      </c>
      <c r="H28" s="256">
        <f>'4'!CP29</f>
        <v>3</v>
      </c>
      <c r="I28" s="245" t="s">
        <v>621</v>
      </c>
      <c r="J28" s="245" t="s">
        <v>621</v>
      </c>
      <c r="K28" s="245" t="s">
        <v>621</v>
      </c>
      <c r="L28" s="245" t="s">
        <v>621</v>
      </c>
      <c r="M28" s="245" t="s">
        <v>621</v>
      </c>
      <c r="N28" s="245" t="s">
        <v>621</v>
      </c>
      <c r="O28" s="257">
        <f>'4'!AS29</f>
        <v>7.1050000000000004</v>
      </c>
      <c r="P28" s="245" t="s">
        <v>621</v>
      </c>
      <c r="Q28" s="245" t="s">
        <v>621</v>
      </c>
      <c r="R28" s="245" t="s">
        <v>621</v>
      </c>
      <c r="S28" s="245" t="s">
        <v>621</v>
      </c>
      <c r="T28" s="245" t="s">
        <v>621</v>
      </c>
      <c r="U28" s="245" t="s">
        <v>621</v>
      </c>
      <c r="V28" s="245" t="s">
        <v>621</v>
      </c>
      <c r="W28" s="245" t="s">
        <v>621</v>
      </c>
      <c r="X28" s="245" t="s">
        <v>621</v>
      </c>
      <c r="Y28" s="245" t="s">
        <v>621</v>
      </c>
      <c r="Z28" s="245" t="s">
        <v>621</v>
      </c>
      <c r="AA28" s="245" t="s">
        <v>621</v>
      </c>
      <c r="AB28" s="245" t="s">
        <v>621</v>
      </c>
      <c r="AC28" s="245" t="s">
        <v>621</v>
      </c>
      <c r="AD28" s="245" t="s">
        <v>621</v>
      </c>
      <c r="AE28" s="245" t="s">
        <v>621</v>
      </c>
      <c r="AF28" s="245" t="s">
        <v>621</v>
      </c>
      <c r="AG28" s="245" t="s">
        <v>621</v>
      </c>
      <c r="AH28" s="245" t="s">
        <v>621</v>
      </c>
      <c r="AI28" s="245" t="s">
        <v>621</v>
      </c>
      <c r="AJ28" s="256">
        <f>'4'!X29</f>
        <v>0</v>
      </c>
      <c r="AK28" s="245" t="s">
        <v>621</v>
      </c>
      <c r="AL28" s="245" t="s">
        <v>621</v>
      </c>
      <c r="AM28" s="245" t="s">
        <v>621</v>
      </c>
      <c r="AN28" s="245" t="s">
        <v>621</v>
      </c>
      <c r="AO28" s="245" t="s">
        <v>621</v>
      </c>
      <c r="AP28" s="245" t="s">
        <v>621</v>
      </c>
      <c r="AQ28" s="245">
        <v>0</v>
      </c>
      <c r="AR28" s="245" t="s">
        <v>621</v>
      </c>
      <c r="AS28" s="245" t="s">
        <v>621</v>
      </c>
      <c r="AT28" s="245" t="s">
        <v>621</v>
      </c>
      <c r="AU28" s="245" t="s">
        <v>621</v>
      </c>
      <c r="AV28" s="245" t="s">
        <v>621</v>
      </c>
      <c r="AW28" s="245" t="s">
        <v>621</v>
      </c>
      <c r="AX28" s="257">
        <f>DB28</f>
        <v>3</v>
      </c>
      <c r="AY28" s="245" t="s">
        <v>621</v>
      </c>
      <c r="AZ28" s="245" t="s">
        <v>621</v>
      </c>
      <c r="BA28" s="245" t="s">
        <v>621</v>
      </c>
      <c r="BB28" s="245" t="s">
        <v>621</v>
      </c>
      <c r="BC28" s="245" t="s">
        <v>621</v>
      </c>
      <c r="BD28" s="245" t="s">
        <v>621</v>
      </c>
      <c r="BE28" s="245">
        <f>'4'!AS29</f>
        <v>7.1050000000000004</v>
      </c>
      <c r="BF28" s="245" t="s">
        <v>621</v>
      </c>
      <c r="BG28" s="245" t="s">
        <v>621</v>
      </c>
      <c r="BH28" s="245" t="s">
        <v>621</v>
      </c>
      <c r="BI28" s="245" t="s">
        <v>621</v>
      </c>
      <c r="BJ28" s="245" t="s">
        <v>621</v>
      </c>
      <c r="BK28" s="245" t="s">
        <v>621</v>
      </c>
      <c r="BL28" s="245">
        <f>'4'!AZ29</f>
        <v>0</v>
      </c>
      <c r="BM28" s="245" t="s">
        <v>621</v>
      </c>
      <c r="BN28" s="245" t="s">
        <v>621</v>
      </c>
      <c r="BO28" s="245" t="s">
        <v>621</v>
      </c>
      <c r="BP28" s="245" t="s">
        <v>621</v>
      </c>
      <c r="BQ28" s="245" t="s">
        <v>621</v>
      </c>
      <c r="BR28" s="245" t="s">
        <v>621</v>
      </c>
      <c r="BS28" s="245">
        <f>'4'!BG29</f>
        <v>0</v>
      </c>
      <c r="BT28" s="245" t="s">
        <v>621</v>
      </c>
      <c r="BU28" s="245" t="s">
        <v>621</v>
      </c>
      <c r="BV28" s="245" t="s">
        <v>621</v>
      </c>
      <c r="BW28" s="245" t="s">
        <v>621</v>
      </c>
      <c r="BX28" s="245" t="s">
        <v>621</v>
      </c>
      <c r="BY28" s="245" t="s">
        <v>621</v>
      </c>
      <c r="BZ28" s="245">
        <f>'4'!BN29</f>
        <v>0</v>
      </c>
      <c r="CA28" s="245" t="s">
        <v>621</v>
      </c>
      <c r="CB28" s="245" t="s">
        <v>621</v>
      </c>
      <c r="CC28" s="245" t="s">
        <v>621</v>
      </c>
      <c r="CD28" s="245" t="s">
        <v>621</v>
      </c>
      <c r="CE28" s="245" t="s">
        <v>621</v>
      </c>
      <c r="CF28" s="245" t="s">
        <v>621</v>
      </c>
      <c r="CG28" s="245">
        <v>0</v>
      </c>
      <c r="CH28" s="245" t="s">
        <v>621</v>
      </c>
      <c r="CI28" s="245" t="s">
        <v>621</v>
      </c>
      <c r="CJ28" s="245" t="s">
        <v>621</v>
      </c>
      <c r="CK28" s="245" t="s">
        <v>621</v>
      </c>
      <c r="CL28" s="245" t="s">
        <v>621</v>
      </c>
      <c r="CM28" s="245" t="s">
        <v>621</v>
      </c>
      <c r="CN28" s="245">
        <f>'4'!CB29</f>
        <v>0</v>
      </c>
      <c r="CO28" s="245" t="s">
        <v>621</v>
      </c>
      <c r="CP28" s="245" t="s">
        <v>621</v>
      </c>
      <c r="CQ28" s="245" t="s">
        <v>621</v>
      </c>
      <c r="CR28" s="245" t="s">
        <v>621</v>
      </c>
      <c r="CS28" s="245" t="s">
        <v>621</v>
      </c>
      <c r="CT28" s="245" t="s">
        <v>621</v>
      </c>
      <c r="CU28" s="245">
        <v>0</v>
      </c>
      <c r="CV28" s="245" t="s">
        <v>621</v>
      </c>
      <c r="CW28" s="245" t="s">
        <v>621</v>
      </c>
      <c r="CX28" s="245" t="s">
        <v>621</v>
      </c>
      <c r="CY28" s="245" t="s">
        <v>621</v>
      </c>
      <c r="CZ28" s="245" t="s">
        <v>621</v>
      </c>
      <c r="DA28" s="245" t="s">
        <v>621</v>
      </c>
      <c r="DB28" s="256">
        <f t="shared" si="0"/>
        <v>3</v>
      </c>
      <c r="DC28" s="245" t="s">
        <v>621</v>
      </c>
      <c r="DD28" s="245" t="s">
        <v>621</v>
      </c>
      <c r="DE28" s="245" t="s">
        <v>621</v>
      </c>
      <c r="DF28" s="245" t="s">
        <v>621</v>
      </c>
      <c r="DG28" s="245" t="s">
        <v>621</v>
      </c>
      <c r="DH28" s="245" t="s">
        <v>621</v>
      </c>
      <c r="DI28" s="245">
        <f>BE28</f>
        <v>7.1050000000000004</v>
      </c>
      <c r="DJ28" s="245" t="s">
        <v>621</v>
      </c>
      <c r="DK28" s="245" t="s">
        <v>621</v>
      </c>
      <c r="DL28" s="245"/>
    </row>
    <row r="29" spans="1:116" s="340" customFormat="1" ht="40.5" x14ac:dyDescent="0.25">
      <c r="A29" s="153" t="s">
        <v>863</v>
      </c>
      <c r="B29" s="908" t="s">
        <v>915</v>
      </c>
      <c r="C29" s="911" t="s">
        <v>1049</v>
      </c>
      <c r="D29" s="245" t="s">
        <v>621</v>
      </c>
      <c r="E29" s="245" t="s">
        <v>621</v>
      </c>
      <c r="F29" s="245" t="s">
        <v>621</v>
      </c>
      <c r="G29" s="245" t="s">
        <v>621</v>
      </c>
      <c r="H29" s="256">
        <f>'4'!CP30</f>
        <v>2.3090000000000002</v>
      </c>
      <c r="I29" s="245" t="s">
        <v>621</v>
      </c>
      <c r="J29" s="245" t="s">
        <v>621</v>
      </c>
      <c r="K29" s="245" t="s">
        <v>621</v>
      </c>
      <c r="L29" s="245" t="s">
        <v>621</v>
      </c>
      <c r="M29" s="245" t="s">
        <v>621</v>
      </c>
      <c r="N29" s="245" t="s">
        <v>621</v>
      </c>
      <c r="O29" s="257">
        <f>'4'!AS30</f>
        <v>0</v>
      </c>
      <c r="P29" s="245" t="s">
        <v>621</v>
      </c>
      <c r="Q29" s="245" t="s">
        <v>621</v>
      </c>
      <c r="R29" s="245" t="s">
        <v>621</v>
      </c>
      <c r="S29" s="245" t="s">
        <v>621</v>
      </c>
      <c r="T29" s="245" t="s">
        <v>621</v>
      </c>
      <c r="U29" s="245" t="s">
        <v>621</v>
      </c>
      <c r="V29" s="245" t="s">
        <v>621</v>
      </c>
      <c r="W29" s="245" t="s">
        <v>621</v>
      </c>
      <c r="X29" s="245" t="s">
        <v>621</v>
      </c>
      <c r="Y29" s="245" t="s">
        <v>621</v>
      </c>
      <c r="Z29" s="245" t="s">
        <v>621</v>
      </c>
      <c r="AA29" s="245" t="s">
        <v>621</v>
      </c>
      <c r="AB29" s="245" t="s">
        <v>621</v>
      </c>
      <c r="AC29" s="245" t="s">
        <v>621</v>
      </c>
      <c r="AD29" s="245" t="s">
        <v>621</v>
      </c>
      <c r="AE29" s="245" t="s">
        <v>621</v>
      </c>
      <c r="AF29" s="245" t="s">
        <v>621</v>
      </c>
      <c r="AG29" s="245" t="s">
        <v>621</v>
      </c>
      <c r="AH29" s="245" t="s">
        <v>621</v>
      </c>
      <c r="AI29" s="245" t="s">
        <v>621</v>
      </c>
      <c r="AJ29" s="256">
        <f>'4'!X30</f>
        <v>0</v>
      </c>
      <c r="AK29" s="245" t="s">
        <v>621</v>
      </c>
      <c r="AL29" s="245" t="s">
        <v>621</v>
      </c>
      <c r="AM29" s="245" t="s">
        <v>621</v>
      </c>
      <c r="AN29" s="245" t="s">
        <v>621</v>
      </c>
      <c r="AO29" s="245" t="s">
        <v>621</v>
      </c>
      <c r="AP29" s="245" t="s">
        <v>621</v>
      </c>
      <c r="AQ29" s="245">
        <v>0</v>
      </c>
      <c r="AR29" s="245" t="s">
        <v>621</v>
      </c>
      <c r="AS29" s="245" t="s">
        <v>621</v>
      </c>
      <c r="AT29" s="245" t="s">
        <v>621</v>
      </c>
      <c r="AU29" s="245" t="s">
        <v>621</v>
      </c>
      <c r="AV29" s="245" t="s">
        <v>621</v>
      </c>
      <c r="AW29" s="245" t="s">
        <v>621</v>
      </c>
      <c r="AX29" s="257">
        <f>DB29</f>
        <v>2.3090000000000002</v>
      </c>
      <c r="AY29" s="245" t="s">
        <v>621</v>
      </c>
      <c r="AZ29" s="245" t="s">
        <v>621</v>
      </c>
      <c r="BA29" s="245" t="s">
        <v>621</v>
      </c>
      <c r="BB29" s="245" t="s">
        <v>621</v>
      </c>
      <c r="BC29" s="245" t="s">
        <v>621</v>
      </c>
      <c r="BD29" s="245" t="s">
        <v>621</v>
      </c>
      <c r="BE29" s="245">
        <f>'4'!AS30</f>
        <v>0</v>
      </c>
      <c r="BF29" s="245" t="s">
        <v>621</v>
      </c>
      <c r="BG29" s="245" t="s">
        <v>621</v>
      </c>
      <c r="BH29" s="245" t="s">
        <v>621</v>
      </c>
      <c r="BI29" s="245" t="s">
        <v>621</v>
      </c>
      <c r="BJ29" s="245" t="s">
        <v>621</v>
      </c>
      <c r="BK29" s="245" t="s">
        <v>621</v>
      </c>
      <c r="BL29" s="245">
        <f>'4'!AZ30</f>
        <v>0</v>
      </c>
      <c r="BM29" s="245" t="s">
        <v>621</v>
      </c>
      <c r="BN29" s="245" t="s">
        <v>621</v>
      </c>
      <c r="BO29" s="245" t="s">
        <v>621</v>
      </c>
      <c r="BP29" s="245" t="s">
        <v>621</v>
      </c>
      <c r="BQ29" s="245" t="s">
        <v>621</v>
      </c>
      <c r="BR29" s="245" t="s">
        <v>621</v>
      </c>
      <c r="BS29" s="245">
        <f>'4'!BG30</f>
        <v>0</v>
      </c>
      <c r="BT29" s="245" t="s">
        <v>621</v>
      </c>
      <c r="BU29" s="245" t="s">
        <v>621</v>
      </c>
      <c r="BV29" s="245" t="s">
        <v>621</v>
      </c>
      <c r="BW29" s="245" t="s">
        <v>621</v>
      </c>
      <c r="BX29" s="245" t="s">
        <v>621</v>
      </c>
      <c r="BY29" s="245" t="s">
        <v>621</v>
      </c>
      <c r="BZ29" s="245">
        <f>'4'!BN30</f>
        <v>0</v>
      </c>
      <c r="CA29" s="245" t="s">
        <v>621</v>
      </c>
      <c r="CB29" s="245" t="s">
        <v>621</v>
      </c>
      <c r="CC29" s="245" t="s">
        <v>621</v>
      </c>
      <c r="CD29" s="245" t="s">
        <v>621</v>
      </c>
      <c r="CE29" s="245" t="s">
        <v>621</v>
      </c>
      <c r="CF29" s="245" t="s">
        <v>621</v>
      </c>
      <c r="CG29" s="245">
        <v>0</v>
      </c>
      <c r="CH29" s="245" t="s">
        <v>621</v>
      </c>
      <c r="CI29" s="245" t="s">
        <v>621</v>
      </c>
      <c r="CJ29" s="245" t="s">
        <v>621</v>
      </c>
      <c r="CK29" s="245" t="s">
        <v>621</v>
      </c>
      <c r="CL29" s="245" t="s">
        <v>621</v>
      </c>
      <c r="CM29" s="245" t="s">
        <v>621</v>
      </c>
      <c r="CN29" s="245">
        <f>'4'!CB30</f>
        <v>0</v>
      </c>
      <c r="CO29" s="245" t="s">
        <v>621</v>
      </c>
      <c r="CP29" s="245" t="s">
        <v>621</v>
      </c>
      <c r="CQ29" s="245" t="s">
        <v>621</v>
      </c>
      <c r="CR29" s="245" t="s">
        <v>621</v>
      </c>
      <c r="CS29" s="245" t="s">
        <v>621</v>
      </c>
      <c r="CT29" s="245" t="s">
        <v>621</v>
      </c>
      <c r="CU29" s="245">
        <v>0</v>
      </c>
      <c r="CV29" s="245" t="s">
        <v>621</v>
      </c>
      <c r="CW29" s="245" t="s">
        <v>621</v>
      </c>
      <c r="CX29" s="245" t="s">
        <v>621</v>
      </c>
      <c r="CY29" s="245" t="s">
        <v>621</v>
      </c>
      <c r="CZ29" s="245" t="s">
        <v>621</v>
      </c>
      <c r="DA29" s="245" t="s">
        <v>621</v>
      </c>
      <c r="DB29" s="256">
        <f t="shared" si="0"/>
        <v>2.3090000000000002</v>
      </c>
      <c r="DC29" s="245" t="s">
        <v>621</v>
      </c>
      <c r="DD29" s="245" t="s">
        <v>621</v>
      </c>
      <c r="DE29" s="245" t="s">
        <v>621</v>
      </c>
      <c r="DF29" s="245" t="s">
        <v>621</v>
      </c>
      <c r="DG29" s="245" t="s">
        <v>621</v>
      </c>
      <c r="DH29" s="245" t="s">
        <v>621</v>
      </c>
      <c r="DI29" s="245">
        <v>0</v>
      </c>
      <c r="DJ29" s="245" t="s">
        <v>621</v>
      </c>
      <c r="DK29" s="245" t="s">
        <v>621</v>
      </c>
      <c r="DL29" s="245"/>
    </row>
    <row r="30" spans="1:116" s="340" customFormat="1" ht="42.75" customHeight="1" x14ac:dyDescent="0.25">
      <c r="A30" s="153" t="s">
        <v>864</v>
      </c>
      <c r="B30" s="908" t="s">
        <v>818</v>
      </c>
      <c r="C30" s="911" t="s">
        <v>1050</v>
      </c>
      <c r="D30" s="245" t="s">
        <v>621</v>
      </c>
      <c r="E30" s="245" t="s">
        <v>621</v>
      </c>
      <c r="F30" s="245" t="s">
        <v>621</v>
      </c>
      <c r="G30" s="245" t="s">
        <v>621</v>
      </c>
      <c r="H30" s="256">
        <f>'4'!CP31</f>
        <v>1.3080000000000001</v>
      </c>
      <c r="I30" s="245" t="s">
        <v>621</v>
      </c>
      <c r="J30" s="245" t="s">
        <v>621</v>
      </c>
      <c r="K30" s="245" t="s">
        <v>621</v>
      </c>
      <c r="L30" s="245" t="s">
        <v>621</v>
      </c>
      <c r="M30" s="245" t="s">
        <v>621</v>
      </c>
      <c r="N30" s="245" t="s">
        <v>621</v>
      </c>
      <c r="O30" s="257">
        <f>'4'!AS31</f>
        <v>0</v>
      </c>
      <c r="P30" s="245" t="s">
        <v>621</v>
      </c>
      <c r="Q30" s="245" t="s">
        <v>621</v>
      </c>
      <c r="R30" s="245" t="s">
        <v>621</v>
      </c>
      <c r="S30" s="245" t="s">
        <v>621</v>
      </c>
      <c r="T30" s="245" t="s">
        <v>621</v>
      </c>
      <c r="U30" s="245" t="s">
        <v>621</v>
      </c>
      <c r="V30" s="245" t="s">
        <v>621</v>
      </c>
      <c r="W30" s="245" t="s">
        <v>621</v>
      </c>
      <c r="X30" s="245" t="s">
        <v>621</v>
      </c>
      <c r="Y30" s="245" t="s">
        <v>621</v>
      </c>
      <c r="Z30" s="245" t="s">
        <v>621</v>
      </c>
      <c r="AA30" s="245" t="s">
        <v>621</v>
      </c>
      <c r="AB30" s="245" t="s">
        <v>621</v>
      </c>
      <c r="AC30" s="245" t="s">
        <v>621</v>
      </c>
      <c r="AD30" s="245" t="s">
        <v>621</v>
      </c>
      <c r="AE30" s="245" t="s">
        <v>621</v>
      </c>
      <c r="AF30" s="245" t="s">
        <v>621</v>
      </c>
      <c r="AG30" s="245" t="s">
        <v>621</v>
      </c>
      <c r="AH30" s="245" t="s">
        <v>621</v>
      </c>
      <c r="AI30" s="245" t="s">
        <v>621</v>
      </c>
      <c r="AJ30" s="256">
        <f>'4'!X31</f>
        <v>0</v>
      </c>
      <c r="AK30" s="245" t="s">
        <v>621</v>
      </c>
      <c r="AL30" s="245" t="s">
        <v>621</v>
      </c>
      <c r="AM30" s="245" t="s">
        <v>621</v>
      </c>
      <c r="AN30" s="245" t="s">
        <v>621</v>
      </c>
      <c r="AO30" s="245" t="s">
        <v>621</v>
      </c>
      <c r="AP30" s="245" t="s">
        <v>621</v>
      </c>
      <c r="AQ30" s="245">
        <v>0</v>
      </c>
      <c r="AR30" s="245" t="s">
        <v>621</v>
      </c>
      <c r="AS30" s="245" t="s">
        <v>621</v>
      </c>
      <c r="AT30" s="245" t="s">
        <v>621</v>
      </c>
      <c r="AU30" s="245" t="s">
        <v>621</v>
      </c>
      <c r="AV30" s="245" t="s">
        <v>621</v>
      </c>
      <c r="AW30" s="245" t="s">
        <v>621</v>
      </c>
      <c r="AX30" s="245">
        <f>'4'!AL31</f>
        <v>0</v>
      </c>
      <c r="AY30" s="245" t="s">
        <v>621</v>
      </c>
      <c r="AZ30" s="245" t="s">
        <v>621</v>
      </c>
      <c r="BA30" s="245" t="s">
        <v>621</v>
      </c>
      <c r="BB30" s="245" t="s">
        <v>621</v>
      </c>
      <c r="BC30" s="245" t="s">
        <v>621</v>
      </c>
      <c r="BD30" s="245" t="s">
        <v>621</v>
      </c>
      <c r="BE30" s="245">
        <f>'4'!AS31</f>
        <v>0</v>
      </c>
      <c r="BF30" s="245" t="s">
        <v>621</v>
      </c>
      <c r="BG30" s="245" t="s">
        <v>621</v>
      </c>
      <c r="BH30" s="245" t="s">
        <v>621</v>
      </c>
      <c r="BI30" s="245" t="s">
        <v>621</v>
      </c>
      <c r="BJ30" s="245" t="s">
        <v>621</v>
      </c>
      <c r="BK30" s="245" t="s">
        <v>621</v>
      </c>
      <c r="BL30" s="245">
        <f>'4'!AZ31</f>
        <v>1.3080000000000001</v>
      </c>
      <c r="BM30" s="245" t="s">
        <v>621</v>
      </c>
      <c r="BN30" s="245" t="s">
        <v>621</v>
      </c>
      <c r="BO30" s="245" t="s">
        <v>621</v>
      </c>
      <c r="BP30" s="245" t="s">
        <v>621</v>
      </c>
      <c r="BQ30" s="245" t="s">
        <v>621</v>
      </c>
      <c r="BR30" s="245" t="s">
        <v>621</v>
      </c>
      <c r="BS30" s="245">
        <f>'4'!BG31</f>
        <v>1.3080000000000001</v>
      </c>
      <c r="BT30" s="245" t="s">
        <v>621</v>
      </c>
      <c r="BU30" s="245" t="s">
        <v>621</v>
      </c>
      <c r="BV30" s="245" t="s">
        <v>621</v>
      </c>
      <c r="BW30" s="245" t="s">
        <v>621</v>
      </c>
      <c r="BX30" s="245" t="s">
        <v>621</v>
      </c>
      <c r="BY30" s="245" t="s">
        <v>621</v>
      </c>
      <c r="BZ30" s="245">
        <f>'4'!BN31</f>
        <v>0</v>
      </c>
      <c r="CA30" s="245" t="s">
        <v>621</v>
      </c>
      <c r="CB30" s="245" t="s">
        <v>621</v>
      </c>
      <c r="CC30" s="245" t="s">
        <v>621</v>
      </c>
      <c r="CD30" s="245" t="s">
        <v>621</v>
      </c>
      <c r="CE30" s="245" t="s">
        <v>621</v>
      </c>
      <c r="CF30" s="245" t="s">
        <v>621</v>
      </c>
      <c r="CG30" s="245">
        <v>0</v>
      </c>
      <c r="CH30" s="245" t="s">
        <v>621</v>
      </c>
      <c r="CI30" s="245" t="s">
        <v>621</v>
      </c>
      <c r="CJ30" s="245" t="s">
        <v>621</v>
      </c>
      <c r="CK30" s="245" t="s">
        <v>621</v>
      </c>
      <c r="CL30" s="245" t="s">
        <v>621</v>
      </c>
      <c r="CM30" s="245" t="s">
        <v>621</v>
      </c>
      <c r="CN30" s="245">
        <f>'4'!CB31</f>
        <v>0</v>
      </c>
      <c r="CO30" s="245" t="s">
        <v>621</v>
      </c>
      <c r="CP30" s="245" t="s">
        <v>621</v>
      </c>
      <c r="CQ30" s="245" t="s">
        <v>621</v>
      </c>
      <c r="CR30" s="245" t="s">
        <v>621</v>
      </c>
      <c r="CS30" s="245" t="s">
        <v>621</v>
      </c>
      <c r="CT30" s="245" t="s">
        <v>621</v>
      </c>
      <c r="CU30" s="245">
        <v>0</v>
      </c>
      <c r="CV30" s="245" t="s">
        <v>621</v>
      </c>
      <c r="CW30" s="245" t="s">
        <v>621</v>
      </c>
      <c r="CX30" s="245" t="s">
        <v>621</v>
      </c>
      <c r="CY30" s="245" t="s">
        <v>621</v>
      </c>
      <c r="CZ30" s="245" t="s">
        <v>621</v>
      </c>
      <c r="DA30" s="245" t="s">
        <v>621</v>
      </c>
      <c r="DB30" s="256">
        <f t="shared" si="0"/>
        <v>1.3080000000000001</v>
      </c>
      <c r="DC30" s="245" t="s">
        <v>621</v>
      </c>
      <c r="DD30" s="245" t="s">
        <v>621</v>
      </c>
      <c r="DE30" s="245" t="s">
        <v>621</v>
      </c>
      <c r="DF30" s="245" t="s">
        <v>621</v>
      </c>
      <c r="DG30" s="245" t="s">
        <v>621</v>
      </c>
      <c r="DH30" s="245" t="s">
        <v>621</v>
      </c>
      <c r="DI30" s="245">
        <v>1.3080000000000001</v>
      </c>
      <c r="DJ30" s="245" t="s">
        <v>621</v>
      </c>
      <c r="DK30" s="245" t="s">
        <v>621</v>
      </c>
      <c r="DL30" s="245"/>
    </row>
    <row r="31" spans="1:116" s="340" customFormat="1" ht="63" customHeight="1" x14ac:dyDescent="0.25">
      <c r="A31" s="153" t="s">
        <v>868</v>
      </c>
      <c r="B31" s="908" t="s">
        <v>870</v>
      </c>
      <c r="C31" s="911" t="s">
        <v>1051</v>
      </c>
      <c r="D31" s="245" t="s">
        <v>621</v>
      </c>
      <c r="E31" s="245" t="s">
        <v>621</v>
      </c>
      <c r="F31" s="245" t="s">
        <v>621</v>
      </c>
      <c r="G31" s="245" t="s">
        <v>621</v>
      </c>
      <c r="H31" s="256">
        <f>'4'!CP32</f>
        <v>2.5670000000000002</v>
      </c>
      <c r="I31" s="245" t="s">
        <v>621</v>
      </c>
      <c r="J31" s="245" t="s">
        <v>621</v>
      </c>
      <c r="K31" s="245" t="s">
        <v>621</v>
      </c>
      <c r="L31" s="245" t="s">
        <v>621</v>
      </c>
      <c r="M31" s="245" t="s">
        <v>621</v>
      </c>
      <c r="N31" s="245" t="s">
        <v>621</v>
      </c>
      <c r="O31" s="257">
        <f>'4'!AS32</f>
        <v>0</v>
      </c>
      <c r="P31" s="245" t="s">
        <v>621</v>
      </c>
      <c r="Q31" s="245" t="s">
        <v>621</v>
      </c>
      <c r="R31" s="245" t="s">
        <v>621</v>
      </c>
      <c r="S31" s="245" t="s">
        <v>621</v>
      </c>
      <c r="T31" s="245" t="s">
        <v>621</v>
      </c>
      <c r="U31" s="245" t="s">
        <v>621</v>
      </c>
      <c r="V31" s="245" t="s">
        <v>621</v>
      </c>
      <c r="W31" s="245" t="s">
        <v>621</v>
      </c>
      <c r="X31" s="245" t="s">
        <v>621</v>
      </c>
      <c r="Y31" s="245" t="s">
        <v>621</v>
      </c>
      <c r="Z31" s="245" t="s">
        <v>621</v>
      </c>
      <c r="AA31" s="245" t="s">
        <v>621</v>
      </c>
      <c r="AB31" s="245" t="s">
        <v>621</v>
      </c>
      <c r="AC31" s="245" t="s">
        <v>621</v>
      </c>
      <c r="AD31" s="245" t="s">
        <v>621</v>
      </c>
      <c r="AE31" s="245" t="s">
        <v>621</v>
      </c>
      <c r="AF31" s="245" t="s">
        <v>621</v>
      </c>
      <c r="AG31" s="245" t="s">
        <v>621</v>
      </c>
      <c r="AH31" s="245" t="s">
        <v>621</v>
      </c>
      <c r="AI31" s="245" t="s">
        <v>621</v>
      </c>
      <c r="AJ31" s="256">
        <f>'4'!X32</f>
        <v>0</v>
      </c>
      <c r="AK31" s="245" t="s">
        <v>621</v>
      </c>
      <c r="AL31" s="245" t="s">
        <v>621</v>
      </c>
      <c r="AM31" s="245" t="s">
        <v>621</v>
      </c>
      <c r="AN31" s="245" t="s">
        <v>621</v>
      </c>
      <c r="AO31" s="245" t="s">
        <v>621</v>
      </c>
      <c r="AP31" s="245" t="s">
        <v>621</v>
      </c>
      <c r="AQ31" s="245">
        <v>0</v>
      </c>
      <c r="AR31" s="245" t="s">
        <v>621</v>
      </c>
      <c r="AS31" s="245" t="s">
        <v>621</v>
      </c>
      <c r="AT31" s="245" t="s">
        <v>621</v>
      </c>
      <c r="AU31" s="245" t="s">
        <v>621</v>
      </c>
      <c r="AV31" s="245" t="s">
        <v>621</v>
      </c>
      <c r="AW31" s="245" t="s">
        <v>621</v>
      </c>
      <c r="AX31" s="245">
        <f>'4'!AL32</f>
        <v>0</v>
      </c>
      <c r="AY31" s="245" t="s">
        <v>621</v>
      </c>
      <c r="AZ31" s="245" t="s">
        <v>621</v>
      </c>
      <c r="BA31" s="245" t="s">
        <v>621</v>
      </c>
      <c r="BB31" s="245" t="s">
        <v>621</v>
      </c>
      <c r="BC31" s="245" t="s">
        <v>621</v>
      </c>
      <c r="BD31" s="245" t="s">
        <v>621</v>
      </c>
      <c r="BE31" s="245">
        <f>'4'!AS32</f>
        <v>0</v>
      </c>
      <c r="BF31" s="245" t="s">
        <v>621</v>
      </c>
      <c r="BG31" s="245" t="s">
        <v>621</v>
      </c>
      <c r="BH31" s="245" t="s">
        <v>621</v>
      </c>
      <c r="BI31" s="245" t="s">
        <v>621</v>
      </c>
      <c r="BJ31" s="245" t="s">
        <v>621</v>
      </c>
      <c r="BK31" s="245" t="s">
        <v>621</v>
      </c>
      <c r="BL31" s="245">
        <f>'4'!AZ32</f>
        <v>2.5670000000000002</v>
      </c>
      <c r="BM31" s="245" t="s">
        <v>621</v>
      </c>
      <c r="BN31" s="245" t="s">
        <v>621</v>
      </c>
      <c r="BO31" s="245" t="s">
        <v>621</v>
      </c>
      <c r="BP31" s="245" t="s">
        <v>621</v>
      </c>
      <c r="BQ31" s="245" t="s">
        <v>621</v>
      </c>
      <c r="BR31" s="245" t="s">
        <v>621</v>
      </c>
      <c r="BS31" s="245">
        <f>'4'!BG32</f>
        <v>0</v>
      </c>
      <c r="BT31" s="245" t="s">
        <v>621</v>
      </c>
      <c r="BU31" s="245" t="s">
        <v>621</v>
      </c>
      <c r="BV31" s="245" t="s">
        <v>621</v>
      </c>
      <c r="BW31" s="245" t="s">
        <v>621</v>
      </c>
      <c r="BX31" s="245" t="s">
        <v>621</v>
      </c>
      <c r="BY31" s="245" t="s">
        <v>621</v>
      </c>
      <c r="BZ31" s="245">
        <f>'4'!BN32</f>
        <v>0</v>
      </c>
      <c r="CA31" s="245" t="s">
        <v>621</v>
      </c>
      <c r="CB31" s="245" t="s">
        <v>621</v>
      </c>
      <c r="CC31" s="245" t="s">
        <v>621</v>
      </c>
      <c r="CD31" s="245" t="s">
        <v>621</v>
      </c>
      <c r="CE31" s="245" t="s">
        <v>621</v>
      </c>
      <c r="CF31" s="245" t="s">
        <v>621</v>
      </c>
      <c r="CG31" s="245">
        <v>0</v>
      </c>
      <c r="CH31" s="245" t="s">
        <v>621</v>
      </c>
      <c r="CI31" s="245" t="s">
        <v>621</v>
      </c>
      <c r="CJ31" s="245" t="s">
        <v>621</v>
      </c>
      <c r="CK31" s="245" t="s">
        <v>621</v>
      </c>
      <c r="CL31" s="245" t="s">
        <v>621</v>
      </c>
      <c r="CM31" s="245" t="s">
        <v>621</v>
      </c>
      <c r="CN31" s="245">
        <f>'4'!CB32</f>
        <v>0</v>
      </c>
      <c r="CO31" s="245" t="s">
        <v>621</v>
      </c>
      <c r="CP31" s="245" t="s">
        <v>621</v>
      </c>
      <c r="CQ31" s="245" t="s">
        <v>621</v>
      </c>
      <c r="CR31" s="245" t="s">
        <v>621</v>
      </c>
      <c r="CS31" s="245" t="s">
        <v>621</v>
      </c>
      <c r="CT31" s="245" t="s">
        <v>621</v>
      </c>
      <c r="CU31" s="245">
        <v>0</v>
      </c>
      <c r="CV31" s="245" t="s">
        <v>621</v>
      </c>
      <c r="CW31" s="245" t="s">
        <v>621</v>
      </c>
      <c r="CX31" s="245" t="s">
        <v>621</v>
      </c>
      <c r="CY31" s="245" t="s">
        <v>621</v>
      </c>
      <c r="CZ31" s="245" t="s">
        <v>621</v>
      </c>
      <c r="DA31" s="245" t="s">
        <v>621</v>
      </c>
      <c r="DB31" s="256">
        <f t="shared" si="0"/>
        <v>2.5670000000000002</v>
      </c>
      <c r="DC31" s="245" t="s">
        <v>621</v>
      </c>
      <c r="DD31" s="245" t="s">
        <v>621</v>
      </c>
      <c r="DE31" s="245" t="s">
        <v>621</v>
      </c>
      <c r="DF31" s="245" t="s">
        <v>621</v>
      </c>
      <c r="DG31" s="245" t="s">
        <v>621</v>
      </c>
      <c r="DH31" s="245" t="s">
        <v>621</v>
      </c>
      <c r="DI31" s="245">
        <v>2.5670000000000002</v>
      </c>
      <c r="DJ31" s="245" t="s">
        <v>621</v>
      </c>
      <c r="DK31" s="245" t="s">
        <v>621</v>
      </c>
      <c r="DL31" s="245"/>
    </row>
    <row r="32" spans="1:116" s="340" customFormat="1" ht="123.75" customHeight="1" x14ac:dyDescent="0.25">
      <c r="A32" s="153" t="s">
        <v>869</v>
      </c>
      <c r="B32" s="908" t="s">
        <v>876</v>
      </c>
      <c r="C32" s="911" t="s">
        <v>1052</v>
      </c>
      <c r="D32" s="245" t="s">
        <v>621</v>
      </c>
      <c r="E32" s="245" t="s">
        <v>621</v>
      </c>
      <c r="F32" s="245" t="s">
        <v>621</v>
      </c>
      <c r="G32" s="245" t="s">
        <v>621</v>
      </c>
      <c r="H32" s="256">
        <f>'4'!CP33</f>
        <v>4.8949999999999996</v>
      </c>
      <c r="I32" s="245" t="s">
        <v>621</v>
      </c>
      <c r="J32" s="245" t="s">
        <v>621</v>
      </c>
      <c r="K32" s="245" t="s">
        <v>621</v>
      </c>
      <c r="L32" s="245" t="s">
        <v>621</v>
      </c>
      <c r="M32" s="245" t="s">
        <v>621</v>
      </c>
      <c r="N32" s="245" t="s">
        <v>621</v>
      </c>
      <c r="O32" s="257">
        <f>'4'!AS33</f>
        <v>0</v>
      </c>
      <c r="P32" s="245" t="s">
        <v>621</v>
      </c>
      <c r="Q32" s="245" t="s">
        <v>621</v>
      </c>
      <c r="R32" s="245" t="s">
        <v>621</v>
      </c>
      <c r="S32" s="245" t="s">
        <v>621</v>
      </c>
      <c r="T32" s="245" t="s">
        <v>621</v>
      </c>
      <c r="U32" s="245" t="s">
        <v>621</v>
      </c>
      <c r="V32" s="245" t="s">
        <v>621</v>
      </c>
      <c r="W32" s="245" t="s">
        <v>621</v>
      </c>
      <c r="X32" s="245" t="s">
        <v>621</v>
      </c>
      <c r="Y32" s="245" t="s">
        <v>621</v>
      </c>
      <c r="Z32" s="245" t="s">
        <v>621</v>
      </c>
      <c r="AA32" s="245" t="s">
        <v>621</v>
      </c>
      <c r="AB32" s="245" t="s">
        <v>621</v>
      </c>
      <c r="AC32" s="245" t="s">
        <v>621</v>
      </c>
      <c r="AD32" s="245" t="s">
        <v>621</v>
      </c>
      <c r="AE32" s="245" t="s">
        <v>621</v>
      </c>
      <c r="AF32" s="245" t="s">
        <v>621</v>
      </c>
      <c r="AG32" s="245" t="s">
        <v>621</v>
      </c>
      <c r="AH32" s="245" t="s">
        <v>621</v>
      </c>
      <c r="AI32" s="245" t="s">
        <v>621</v>
      </c>
      <c r="AJ32" s="256">
        <f>'4'!X33</f>
        <v>0</v>
      </c>
      <c r="AK32" s="245" t="s">
        <v>621</v>
      </c>
      <c r="AL32" s="245" t="s">
        <v>621</v>
      </c>
      <c r="AM32" s="245" t="s">
        <v>621</v>
      </c>
      <c r="AN32" s="245" t="s">
        <v>621</v>
      </c>
      <c r="AO32" s="245" t="s">
        <v>621</v>
      </c>
      <c r="AP32" s="245" t="s">
        <v>621</v>
      </c>
      <c r="AQ32" s="245">
        <v>0</v>
      </c>
      <c r="AR32" s="245" t="s">
        <v>621</v>
      </c>
      <c r="AS32" s="245" t="s">
        <v>621</v>
      </c>
      <c r="AT32" s="245" t="s">
        <v>621</v>
      </c>
      <c r="AU32" s="245" t="s">
        <v>621</v>
      </c>
      <c r="AV32" s="245" t="s">
        <v>621</v>
      </c>
      <c r="AW32" s="245" t="s">
        <v>621</v>
      </c>
      <c r="AX32" s="245">
        <f>'4'!AL33</f>
        <v>0</v>
      </c>
      <c r="AY32" s="245" t="s">
        <v>621</v>
      </c>
      <c r="AZ32" s="245" t="s">
        <v>621</v>
      </c>
      <c r="BA32" s="245" t="s">
        <v>621</v>
      </c>
      <c r="BB32" s="245" t="s">
        <v>621</v>
      </c>
      <c r="BC32" s="245" t="s">
        <v>621</v>
      </c>
      <c r="BD32" s="245" t="s">
        <v>621</v>
      </c>
      <c r="BE32" s="245">
        <f>'4'!AS33</f>
        <v>0</v>
      </c>
      <c r="BF32" s="245" t="s">
        <v>621</v>
      </c>
      <c r="BG32" s="245" t="s">
        <v>621</v>
      </c>
      <c r="BH32" s="245" t="s">
        <v>621</v>
      </c>
      <c r="BI32" s="245" t="s">
        <v>621</v>
      </c>
      <c r="BJ32" s="245" t="s">
        <v>621</v>
      </c>
      <c r="BK32" s="245" t="s">
        <v>621</v>
      </c>
      <c r="BL32" s="245">
        <f>'4'!AZ33</f>
        <v>0</v>
      </c>
      <c r="BM32" s="245" t="s">
        <v>621</v>
      </c>
      <c r="BN32" s="245" t="s">
        <v>621</v>
      </c>
      <c r="BO32" s="245" t="s">
        <v>621</v>
      </c>
      <c r="BP32" s="245" t="s">
        <v>621</v>
      </c>
      <c r="BQ32" s="245" t="s">
        <v>621</v>
      </c>
      <c r="BR32" s="245" t="s">
        <v>621</v>
      </c>
      <c r="BS32" s="245">
        <f>'4'!BG33</f>
        <v>0</v>
      </c>
      <c r="BT32" s="245" t="s">
        <v>621</v>
      </c>
      <c r="BU32" s="245" t="s">
        <v>621</v>
      </c>
      <c r="BV32" s="245" t="s">
        <v>621</v>
      </c>
      <c r="BW32" s="245" t="s">
        <v>621</v>
      </c>
      <c r="BX32" s="245" t="s">
        <v>621</v>
      </c>
      <c r="BY32" s="245" t="s">
        <v>621</v>
      </c>
      <c r="BZ32" s="245">
        <f>'4'!BN33</f>
        <v>4.8949999999999996</v>
      </c>
      <c r="CA32" s="245" t="s">
        <v>621</v>
      </c>
      <c r="CB32" s="245" t="s">
        <v>621</v>
      </c>
      <c r="CC32" s="245" t="s">
        <v>621</v>
      </c>
      <c r="CD32" s="245" t="s">
        <v>621</v>
      </c>
      <c r="CE32" s="245" t="s">
        <v>621</v>
      </c>
      <c r="CF32" s="245" t="s">
        <v>621</v>
      </c>
      <c r="CG32" s="245">
        <v>4.8949999999999996</v>
      </c>
      <c r="CH32" s="245" t="s">
        <v>621</v>
      </c>
      <c r="CI32" s="245" t="s">
        <v>621</v>
      </c>
      <c r="CJ32" s="245" t="s">
        <v>621</v>
      </c>
      <c r="CK32" s="245" t="s">
        <v>621</v>
      </c>
      <c r="CL32" s="245" t="s">
        <v>621</v>
      </c>
      <c r="CM32" s="245" t="s">
        <v>621</v>
      </c>
      <c r="CN32" s="245">
        <f>'4'!CB33</f>
        <v>0</v>
      </c>
      <c r="CO32" s="245" t="s">
        <v>621</v>
      </c>
      <c r="CP32" s="245" t="s">
        <v>621</v>
      </c>
      <c r="CQ32" s="245" t="s">
        <v>621</v>
      </c>
      <c r="CR32" s="245" t="s">
        <v>621</v>
      </c>
      <c r="CS32" s="245" t="s">
        <v>621</v>
      </c>
      <c r="CT32" s="245" t="s">
        <v>621</v>
      </c>
      <c r="CU32" s="245">
        <v>0</v>
      </c>
      <c r="CV32" s="245" t="s">
        <v>621</v>
      </c>
      <c r="CW32" s="245" t="s">
        <v>621</v>
      </c>
      <c r="CX32" s="245" t="s">
        <v>621</v>
      </c>
      <c r="CY32" s="245" t="s">
        <v>621</v>
      </c>
      <c r="CZ32" s="245" t="s">
        <v>621</v>
      </c>
      <c r="DA32" s="245" t="s">
        <v>621</v>
      </c>
      <c r="DB32" s="256">
        <f t="shared" si="0"/>
        <v>4.8949999999999996</v>
      </c>
      <c r="DC32" s="245" t="s">
        <v>621</v>
      </c>
      <c r="DD32" s="245" t="s">
        <v>621</v>
      </c>
      <c r="DE32" s="245" t="s">
        <v>621</v>
      </c>
      <c r="DF32" s="245" t="s">
        <v>621</v>
      </c>
      <c r="DG32" s="245" t="s">
        <v>621</v>
      </c>
      <c r="DH32" s="245" t="s">
        <v>621</v>
      </c>
      <c r="DI32" s="245">
        <v>4.8949999999999996</v>
      </c>
      <c r="DJ32" s="245" t="s">
        <v>621</v>
      </c>
      <c r="DK32" s="245" t="s">
        <v>621</v>
      </c>
      <c r="DL32" s="245"/>
    </row>
    <row r="33" spans="1:116" s="340" customFormat="1" ht="40.5" x14ac:dyDescent="0.25">
      <c r="A33" s="153" t="s">
        <v>874</v>
      </c>
      <c r="B33" s="908" t="s">
        <v>821</v>
      </c>
      <c r="C33" s="911" t="s">
        <v>1053</v>
      </c>
      <c r="D33" s="245" t="s">
        <v>621</v>
      </c>
      <c r="E33" s="245" t="s">
        <v>621</v>
      </c>
      <c r="F33" s="245" t="s">
        <v>621</v>
      </c>
      <c r="G33" s="245" t="s">
        <v>621</v>
      </c>
      <c r="H33" s="256">
        <f>'4'!CP34</f>
        <v>1.538</v>
      </c>
      <c r="I33" s="245" t="s">
        <v>621</v>
      </c>
      <c r="J33" s="245" t="s">
        <v>621</v>
      </c>
      <c r="K33" s="245" t="s">
        <v>621</v>
      </c>
      <c r="L33" s="245" t="s">
        <v>621</v>
      </c>
      <c r="M33" s="245" t="s">
        <v>621</v>
      </c>
      <c r="N33" s="245" t="s">
        <v>621</v>
      </c>
      <c r="O33" s="257">
        <f>'4'!AS34</f>
        <v>0</v>
      </c>
      <c r="P33" s="245" t="s">
        <v>621</v>
      </c>
      <c r="Q33" s="245" t="s">
        <v>621</v>
      </c>
      <c r="R33" s="245" t="s">
        <v>621</v>
      </c>
      <c r="S33" s="245" t="s">
        <v>621</v>
      </c>
      <c r="T33" s="245" t="s">
        <v>621</v>
      </c>
      <c r="U33" s="245" t="s">
        <v>621</v>
      </c>
      <c r="V33" s="245" t="s">
        <v>621</v>
      </c>
      <c r="W33" s="245" t="s">
        <v>621</v>
      </c>
      <c r="X33" s="245" t="s">
        <v>621</v>
      </c>
      <c r="Y33" s="245" t="s">
        <v>621</v>
      </c>
      <c r="Z33" s="245" t="s">
        <v>621</v>
      </c>
      <c r="AA33" s="245" t="s">
        <v>621</v>
      </c>
      <c r="AB33" s="245" t="s">
        <v>621</v>
      </c>
      <c r="AC33" s="245" t="s">
        <v>621</v>
      </c>
      <c r="AD33" s="245" t="s">
        <v>621</v>
      </c>
      <c r="AE33" s="245" t="s">
        <v>621</v>
      </c>
      <c r="AF33" s="245" t="s">
        <v>621</v>
      </c>
      <c r="AG33" s="245" t="s">
        <v>621</v>
      </c>
      <c r="AH33" s="245" t="s">
        <v>621</v>
      </c>
      <c r="AI33" s="245" t="s">
        <v>621</v>
      </c>
      <c r="AJ33" s="256">
        <f>'4'!X34</f>
        <v>0</v>
      </c>
      <c r="AK33" s="245" t="s">
        <v>621</v>
      </c>
      <c r="AL33" s="245" t="s">
        <v>621</v>
      </c>
      <c r="AM33" s="245" t="s">
        <v>621</v>
      </c>
      <c r="AN33" s="245" t="s">
        <v>621</v>
      </c>
      <c r="AO33" s="245" t="s">
        <v>621</v>
      </c>
      <c r="AP33" s="245" t="s">
        <v>621</v>
      </c>
      <c r="AQ33" s="245">
        <v>0</v>
      </c>
      <c r="AR33" s="245" t="s">
        <v>621</v>
      </c>
      <c r="AS33" s="245" t="s">
        <v>621</v>
      </c>
      <c r="AT33" s="245" t="s">
        <v>621</v>
      </c>
      <c r="AU33" s="245" t="s">
        <v>621</v>
      </c>
      <c r="AV33" s="245" t="s">
        <v>621</v>
      </c>
      <c r="AW33" s="245" t="s">
        <v>621</v>
      </c>
      <c r="AX33" s="245">
        <f>'4'!AL34</f>
        <v>0</v>
      </c>
      <c r="AY33" s="245" t="s">
        <v>621</v>
      </c>
      <c r="AZ33" s="245" t="s">
        <v>621</v>
      </c>
      <c r="BA33" s="245" t="s">
        <v>621</v>
      </c>
      <c r="BB33" s="245" t="s">
        <v>621</v>
      </c>
      <c r="BC33" s="245" t="s">
        <v>621</v>
      </c>
      <c r="BD33" s="245" t="s">
        <v>621</v>
      </c>
      <c r="BE33" s="245">
        <f>'4'!AS34</f>
        <v>0</v>
      </c>
      <c r="BF33" s="245" t="s">
        <v>621</v>
      </c>
      <c r="BG33" s="245" t="s">
        <v>621</v>
      </c>
      <c r="BH33" s="245" t="s">
        <v>621</v>
      </c>
      <c r="BI33" s="245" t="s">
        <v>621</v>
      </c>
      <c r="BJ33" s="245" t="s">
        <v>621</v>
      </c>
      <c r="BK33" s="245" t="s">
        <v>621</v>
      </c>
      <c r="BL33" s="245">
        <f>'4'!AZ34</f>
        <v>0</v>
      </c>
      <c r="BM33" s="245" t="s">
        <v>621</v>
      </c>
      <c r="BN33" s="245" t="s">
        <v>621</v>
      </c>
      <c r="BO33" s="245" t="s">
        <v>621</v>
      </c>
      <c r="BP33" s="245" t="s">
        <v>621</v>
      </c>
      <c r="BQ33" s="245" t="s">
        <v>621</v>
      </c>
      <c r="BR33" s="245" t="s">
        <v>621</v>
      </c>
      <c r="BS33" s="245">
        <f>'4'!BG34</f>
        <v>0</v>
      </c>
      <c r="BT33" s="245" t="s">
        <v>621</v>
      </c>
      <c r="BU33" s="245" t="s">
        <v>621</v>
      </c>
      <c r="BV33" s="245" t="s">
        <v>621</v>
      </c>
      <c r="BW33" s="245" t="s">
        <v>621</v>
      </c>
      <c r="BX33" s="245" t="s">
        <v>621</v>
      </c>
      <c r="BY33" s="245" t="s">
        <v>621</v>
      </c>
      <c r="BZ33" s="245">
        <f>'4'!BN34</f>
        <v>0</v>
      </c>
      <c r="CA33" s="245" t="s">
        <v>621</v>
      </c>
      <c r="CB33" s="245" t="s">
        <v>621</v>
      </c>
      <c r="CC33" s="245" t="s">
        <v>621</v>
      </c>
      <c r="CD33" s="245" t="s">
        <v>621</v>
      </c>
      <c r="CE33" s="245" t="s">
        <v>621</v>
      </c>
      <c r="CF33" s="245" t="s">
        <v>621</v>
      </c>
      <c r="CG33" s="245">
        <v>0</v>
      </c>
      <c r="CH33" s="245" t="s">
        <v>621</v>
      </c>
      <c r="CI33" s="245" t="s">
        <v>621</v>
      </c>
      <c r="CJ33" s="245" t="s">
        <v>621</v>
      </c>
      <c r="CK33" s="245" t="s">
        <v>621</v>
      </c>
      <c r="CL33" s="245" t="s">
        <v>621</v>
      </c>
      <c r="CM33" s="245" t="s">
        <v>621</v>
      </c>
      <c r="CN33" s="245">
        <f>'4'!CB34</f>
        <v>1.538</v>
      </c>
      <c r="CO33" s="245" t="s">
        <v>621</v>
      </c>
      <c r="CP33" s="245" t="s">
        <v>621</v>
      </c>
      <c r="CQ33" s="245" t="s">
        <v>621</v>
      </c>
      <c r="CR33" s="245" t="s">
        <v>621</v>
      </c>
      <c r="CS33" s="245" t="s">
        <v>621</v>
      </c>
      <c r="CT33" s="245" t="s">
        <v>621</v>
      </c>
      <c r="CU33" s="245">
        <v>1.538</v>
      </c>
      <c r="CV33" s="245" t="s">
        <v>621</v>
      </c>
      <c r="CW33" s="245" t="s">
        <v>621</v>
      </c>
      <c r="CX33" s="245" t="s">
        <v>621</v>
      </c>
      <c r="CY33" s="245" t="s">
        <v>621</v>
      </c>
      <c r="CZ33" s="245" t="s">
        <v>621</v>
      </c>
      <c r="DA33" s="245" t="s">
        <v>621</v>
      </c>
      <c r="DB33" s="256">
        <f t="shared" si="0"/>
        <v>1.538</v>
      </c>
      <c r="DC33" s="245" t="s">
        <v>621</v>
      </c>
      <c r="DD33" s="245" t="s">
        <v>621</v>
      </c>
      <c r="DE33" s="245" t="s">
        <v>621</v>
      </c>
      <c r="DF33" s="245" t="s">
        <v>621</v>
      </c>
      <c r="DG33" s="245" t="s">
        <v>621</v>
      </c>
      <c r="DH33" s="245" t="s">
        <v>621</v>
      </c>
      <c r="DI33" s="245">
        <v>1.538</v>
      </c>
      <c r="DJ33" s="245" t="s">
        <v>621</v>
      </c>
      <c r="DK33" s="245" t="s">
        <v>621</v>
      </c>
      <c r="DL33" s="245"/>
    </row>
    <row r="34" spans="1:116" s="340" customFormat="1" ht="60.75" x14ac:dyDescent="0.25">
      <c r="A34" s="153" t="s">
        <v>875</v>
      </c>
      <c r="B34" s="908" t="s">
        <v>1042</v>
      </c>
      <c r="C34" s="911" t="s">
        <v>1054</v>
      </c>
      <c r="D34" s="245" t="s">
        <v>621</v>
      </c>
      <c r="E34" s="245" t="s">
        <v>621</v>
      </c>
      <c r="F34" s="245" t="s">
        <v>621</v>
      </c>
      <c r="G34" s="245" t="s">
        <v>621</v>
      </c>
      <c r="H34" s="256">
        <f>'4'!CP35</f>
        <v>0.59499999999999997</v>
      </c>
      <c r="I34" s="245" t="s">
        <v>621</v>
      </c>
      <c r="J34" s="245" t="s">
        <v>621</v>
      </c>
      <c r="K34" s="245" t="s">
        <v>621</v>
      </c>
      <c r="L34" s="245" t="s">
        <v>621</v>
      </c>
      <c r="M34" s="245" t="s">
        <v>621</v>
      </c>
      <c r="N34" s="245" t="s">
        <v>621</v>
      </c>
      <c r="O34" s="257">
        <f>'4'!AS35</f>
        <v>0</v>
      </c>
      <c r="P34" s="245" t="s">
        <v>621</v>
      </c>
      <c r="Q34" s="245" t="s">
        <v>621</v>
      </c>
      <c r="R34" s="245" t="s">
        <v>621</v>
      </c>
      <c r="S34" s="245" t="s">
        <v>621</v>
      </c>
      <c r="T34" s="245" t="s">
        <v>621</v>
      </c>
      <c r="U34" s="245" t="s">
        <v>621</v>
      </c>
      <c r="V34" s="245" t="s">
        <v>621</v>
      </c>
      <c r="W34" s="245" t="s">
        <v>621</v>
      </c>
      <c r="X34" s="245" t="s">
        <v>621</v>
      </c>
      <c r="Y34" s="245" t="s">
        <v>621</v>
      </c>
      <c r="Z34" s="245" t="s">
        <v>621</v>
      </c>
      <c r="AA34" s="245" t="s">
        <v>621</v>
      </c>
      <c r="AB34" s="245" t="s">
        <v>621</v>
      </c>
      <c r="AC34" s="245" t="s">
        <v>621</v>
      </c>
      <c r="AD34" s="245" t="s">
        <v>621</v>
      </c>
      <c r="AE34" s="245" t="s">
        <v>621</v>
      </c>
      <c r="AF34" s="245" t="s">
        <v>621</v>
      </c>
      <c r="AG34" s="245" t="s">
        <v>621</v>
      </c>
      <c r="AH34" s="245" t="s">
        <v>621</v>
      </c>
      <c r="AI34" s="245" t="s">
        <v>621</v>
      </c>
      <c r="AJ34" s="256">
        <f>'4'!X35</f>
        <v>0</v>
      </c>
      <c r="AK34" s="245" t="s">
        <v>621</v>
      </c>
      <c r="AL34" s="245" t="s">
        <v>621</v>
      </c>
      <c r="AM34" s="245" t="s">
        <v>621</v>
      </c>
      <c r="AN34" s="245" t="s">
        <v>621</v>
      </c>
      <c r="AO34" s="245" t="s">
        <v>621</v>
      </c>
      <c r="AP34" s="245" t="s">
        <v>621</v>
      </c>
      <c r="AQ34" s="245">
        <v>0</v>
      </c>
      <c r="AR34" s="245" t="s">
        <v>621</v>
      </c>
      <c r="AS34" s="245" t="s">
        <v>621</v>
      </c>
      <c r="AT34" s="245" t="s">
        <v>621</v>
      </c>
      <c r="AU34" s="245" t="s">
        <v>621</v>
      </c>
      <c r="AV34" s="245" t="s">
        <v>621</v>
      </c>
      <c r="AW34" s="245" t="s">
        <v>621</v>
      </c>
      <c r="AX34" s="245">
        <f>'4'!AL35</f>
        <v>0</v>
      </c>
      <c r="AY34" s="245" t="s">
        <v>621</v>
      </c>
      <c r="AZ34" s="245" t="s">
        <v>621</v>
      </c>
      <c r="BA34" s="245" t="s">
        <v>621</v>
      </c>
      <c r="BB34" s="245" t="s">
        <v>621</v>
      </c>
      <c r="BC34" s="245" t="s">
        <v>621</v>
      </c>
      <c r="BD34" s="245" t="s">
        <v>621</v>
      </c>
      <c r="BE34" s="245">
        <f>'4'!AS35</f>
        <v>0</v>
      </c>
      <c r="BF34" s="245" t="s">
        <v>621</v>
      </c>
      <c r="BG34" s="245" t="s">
        <v>621</v>
      </c>
      <c r="BH34" s="245" t="s">
        <v>621</v>
      </c>
      <c r="BI34" s="245" t="s">
        <v>621</v>
      </c>
      <c r="BJ34" s="245" t="s">
        <v>621</v>
      </c>
      <c r="BK34" s="245" t="s">
        <v>621</v>
      </c>
      <c r="BL34" s="245">
        <f>'4'!AZ35</f>
        <v>0</v>
      </c>
      <c r="BM34" s="245" t="s">
        <v>621</v>
      </c>
      <c r="BN34" s="245" t="s">
        <v>621</v>
      </c>
      <c r="BO34" s="245" t="s">
        <v>621</v>
      </c>
      <c r="BP34" s="245" t="s">
        <v>621</v>
      </c>
      <c r="BQ34" s="245" t="s">
        <v>621</v>
      </c>
      <c r="BR34" s="245" t="s">
        <v>621</v>
      </c>
      <c r="BS34" s="245">
        <f>'4'!BG35</f>
        <v>0</v>
      </c>
      <c r="BT34" s="245" t="s">
        <v>621</v>
      </c>
      <c r="BU34" s="245" t="s">
        <v>621</v>
      </c>
      <c r="BV34" s="245" t="s">
        <v>621</v>
      </c>
      <c r="BW34" s="245" t="s">
        <v>621</v>
      </c>
      <c r="BX34" s="245" t="s">
        <v>621</v>
      </c>
      <c r="BY34" s="245" t="s">
        <v>621</v>
      </c>
      <c r="BZ34" s="245">
        <f>'4'!BN35</f>
        <v>0</v>
      </c>
      <c r="CA34" s="245" t="s">
        <v>621</v>
      </c>
      <c r="CB34" s="245" t="s">
        <v>621</v>
      </c>
      <c r="CC34" s="245" t="s">
        <v>621</v>
      </c>
      <c r="CD34" s="245" t="s">
        <v>621</v>
      </c>
      <c r="CE34" s="245" t="s">
        <v>621</v>
      </c>
      <c r="CF34" s="245" t="s">
        <v>621</v>
      </c>
      <c r="CG34" s="245">
        <v>0</v>
      </c>
      <c r="CH34" s="245" t="s">
        <v>621</v>
      </c>
      <c r="CI34" s="245" t="s">
        <v>621</v>
      </c>
      <c r="CJ34" s="245" t="s">
        <v>621</v>
      </c>
      <c r="CK34" s="245" t="s">
        <v>621</v>
      </c>
      <c r="CL34" s="245" t="s">
        <v>621</v>
      </c>
      <c r="CM34" s="245" t="s">
        <v>621</v>
      </c>
      <c r="CN34" s="245">
        <f>'4'!CB35</f>
        <v>0.59499999999999997</v>
      </c>
      <c r="CO34" s="245" t="s">
        <v>621</v>
      </c>
      <c r="CP34" s="245" t="s">
        <v>621</v>
      </c>
      <c r="CQ34" s="245" t="s">
        <v>621</v>
      </c>
      <c r="CR34" s="245" t="s">
        <v>621</v>
      </c>
      <c r="CS34" s="245" t="s">
        <v>621</v>
      </c>
      <c r="CT34" s="245" t="s">
        <v>621</v>
      </c>
      <c r="CU34" s="245">
        <v>0.59499999999999997</v>
      </c>
      <c r="CV34" s="245" t="s">
        <v>621</v>
      </c>
      <c r="CW34" s="245" t="s">
        <v>621</v>
      </c>
      <c r="CX34" s="245" t="s">
        <v>621</v>
      </c>
      <c r="CY34" s="245" t="s">
        <v>621</v>
      </c>
      <c r="CZ34" s="245" t="s">
        <v>621</v>
      </c>
      <c r="DA34" s="245" t="s">
        <v>621</v>
      </c>
      <c r="DB34" s="256">
        <f t="shared" si="0"/>
        <v>0.59499999999999997</v>
      </c>
      <c r="DC34" s="245" t="s">
        <v>621</v>
      </c>
      <c r="DD34" s="245" t="s">
        <v>621</v>
      </c>
      <c r="DE34" s="245" t="s">
        <v>621</v>
      </c>
      <c r="DF34" s="245" t="s">
        <v>621</v>
      </c>
      <c r="DG34" s="245" t="s">
        <v>621</v>
      </c>
      <c r="DH34" s="245" t="s">
        <v>621</v>
      </c>
      <c r="DI34" s="245">
        <v>0.59499999999999997</v>
      </c>
      <c r="DJ34" s="245" t="s">
        <v>621</v>
      </c>
      <c r="DK34" s="245" t="s">
        <v>621</v>
      </c>
      <c r="DL34" s="245"/>
    </row>
    <row r="35" spans="1:116" s="340" customFormat="1" ht="20.25" customHeight="1" x14ac:dyDescent="0.25">
      <c r="A35" s="153" t="s">
        <v>884</v>
      </c>
      <c r="B35" s="908" t="s">
        <v>901</v>
      </c>
      <c r="C35" s="911" t="s">
        <v>1055</v>
      </c>
      <c r="D35" s="245" t="s">
        <v>621</v>
      </c>
      <c r="E35" s="245" t="s">
        <v>621</v>
      </c>
      <c r="F35" s="245" t="s">
        <v>621</v>
      </c>
      <c r="G35" s="245" t="s">
        <v>621</v>
      </c>
      <c r="H35" s="256">
        <f>'4'!CP36</f>
        <v>1.006</v>
      </c>
      <c r="I35" s="245" t="s">
        <v>621</v>
      </c>
      <c r="J35" s="245" t="s">
        <v>621</v>
      </c>
      <c r="K35" s="245" t="s">
        <v>621</v>
      </c>
      <c r="L35" s="245" t="s">
        <v>621</v>
      </c>
      <c r="M35" s="245" t="s">
        <v>621</v>
      </c>
      <c r="N35" s="245" t="s">
        <v>621</v>
      </c>
      <c r="O35" s="257">
        <f>'4'!AS36</f>
        <v>0</v>
      </c>
      <c r="P35" s="245" t="s">
        <v>621</v>
      </c>
      <c r="Q35" s="245" t="s">
        <v>621</v>
      </c>
      <c r="R35" s="245" t="s">
        <v>621</v>
      </c>
      <c r="S35" s="245" t="s">
        <v>621</v>
      </c>
      <c r="T35" s="245" t="s">
        <v>621</v>
      </c>
      <c r="U35" s="245" t="s">
        <v>621</v>
      </c>
      <c r="V35" s="245" t="s">
        <v>621</v>
      </c>
      <c r="W35" s="245" t="s">
        <v>621</v>
      </c>
      <c r="X35" s="245" t="s">
        <v>621</v>
      </c>
      <c r="Y35" s="245" t="s">
        <v>621</v>
      </c>
      <c r="Z35" s="245" t="s">
        <v>621</v>
      </c>
      <c r="AA35" s="245" t="s">
        <v>621</v>
      </c>
      <c r="AB35" s="245" t="s">
        <v>621</v>
      </c>
      <c r="AC35" s="245" t="s">
        <v>621</v>
      </c>
      <c r="AD35" s="245" t="s">
        <v>621</v>
      </c>
      <c r="AE35" s="245" t="s">
        <v>621</v>
      </c>
      <c r="AF35" s="245" t="s">
        <v>621</v>
      </c>
      <c r="AG35" s="245" t="s">
        <v>621</v>
      </c>
      <c r="AH35" s="245" t="s">
        <v>621</v>
      </c>
      <c r="AI35" s="245" t="s">
        <v>621</v>
      </c>
      <c r="AJ35" s="256">
        <f>'4'!X36</f>
        <v>0</v>
      </c>
      <c r="AK35" s="245" t="s">
        <v>621</v>
      </c>
      <c r="AL35" s="245" t="s">
        <v>621</v>
      </c>
      <c r="AM35" s="245" t="s">
        <v>621</v>
      </c>
      <c r="AN35" s="245" t="s">
        <v>621</v>
      </c>
      <c r="AO35" s="245" t="s">
        <v>621</v>
      </c>
      <c r="AP35" s="245" t="s">
        <v>621</v>
      </c>
      <c r="AQ35" s="245">
        <v>0</v>
      </c>
      <c r="AR35" s="245" t="s">
        <v>621</v>
      </c>
      <c r="AS35" s="245" t="s">
        <v>621</v>
      </c>
      <c r="AT35" s="245" t="s">
        <v>621</v>
      </c>
      <c r="AU35" s="245" t="s">
        <v>621</v>
      </c>
      <c r="AV35" s="245" t="s">
        <v>621</v>
      </c>
      <c r="AW35" s="245" t="s">
        <v>621</v>
      </c>
      <c r="AX35" s="245">
        <v>0</v>
      </c>
      <c r="AY35" s="245" t="s">
        <v>621</v>
      </c>
      <c r="AZ35" s="245" t="s">
        <v>621</v>
      </c>
      <c r="BA35" s="245" t="s">
        <v>621</v>
      </c>
      <c r="BB35" s="245" t="s">
        <v>621</v>
      </c>
      <c r="BC35" s="245" t="s">
        <v>621</v>
      </c>
      <c r="BD35" s="245" t="s">
        <v>621</v>
      </c>
      <c r="BE35" s="245">
        <f>'4'!AS36</f>
        <v>0</v>
      </c>
      <c r="BF35" s="245" t="s">
        <v>621</v>
      </c>
      <c r="BG35" s="245" t="s">
        <v>621</v>
      </c>
      <c r="BH35" s="245" t="s">
        <v>621</v>
      </c>
      <c r="BI35" s="245" t="s">
        <v>621</v>
      </c>
      <c r="BJ35" s="245" t="s">
        <v>621</v>
      </c>
      <c r="BK35" s="245" t="s">
        <v>621</v>
      </c>
      <c r="BL35" s="245">
        <f>'4'!AZ36</f>
        <v>0</v>
      </c>
      <c r="BM35" s="245" t="s">
        <v>621</v>
      </c>
      <c r="BN35" s="245" t="s">
        <v>621</v>
      </c>
      <c r="BO35" s="245" t="s">
        <v>621</v>
      </c>
      <c r="BP35" s="245" t="s">
        <v>621</v>
      </c>
      <c r="BQ35" s="245" t="s">
        <v>621</v>
      </c>
      <c r="BR35" s="245" t="s">
        <v>621</v>
      </c>
      <c r="BS35" s="245">
        <f>'4'!BG36</f>
        <v>0</v>
      </c>
      <c r="BT35" s="245" t="s">
        <v>621</v>
      </c>
      <c r="BU35" s="245" t="s">
        <v>621</v>
      </c>
      <c r="BV35" s="245" t="s">
        <v>621</v>
      </c>
      <c r="BW35" s="245" t="s">
        <v>621</v>
      </c>
      <c r="BX35" s="245" t="s">
        <v>621</v>
      </c>
      <c r="BY35" s="245" t="s">
        <v>621</v>
      </c>
      <c r="BZ35" s="245">
        <f>'4'!BN36</f>
        <v>0</v>
      </c>
      <c r="CA35" s="245" t="s">
        <v>621</v>
      </c>
      <c r="CB35" s="245" t="s">
        <v>621</v>
      </c>
      <c r="CC35" s="245" t="s">
        <v>621</v>
      </c>
      <c r="CD35" s="245" t="s">
        <v>621</v>
      </c>
      <c r="CE35" s="245" t="s">
        <v>621</v>
      </c>
      <c r="CF35" s="245" t="s">
        <v>621</v>
      </c>
      <c r="CG35" s="245">
        <v>0</v>
      </c>
      <c r="CH35" s="245" t="s">
        <v>621</v>
      </c>
      <c r="CI35" s="245" t="s">
        <v>621</v>
      </c>
      <c r="CJ35" s="245" t="s">
        <v>621</v>
      </c>
      <c r="CK35" s="245" t="s">
        <v>621</v>
      </c>
      <c r="CL35" s="245" t="s">
        <v>621</v>
      </c>
      <c r="CM35" s="245" t="s">
        <v>621</v>
      </c>
      <c r="CN35" s="245">
        <f>'4'!CB36</f>
        <v>1.006</v>
      </c>
      <c r="CO35" s="245" t="s">
        <v>621</v>
      </c>
      <c r="CP35" s="245" t="s">
        <v>621</v>
      </c>
      <c r="CQ35" s="245" t="s">
        <v>621</v>
      </c>
      <c r="CR35" s="245" t="s">
        <v>621</v>
      </c>
      <c r="CS35" s="245" t="s">
        <v>621</v>
      </c>
      <c r="CT35" s="245" t="s">
        <v>621</v>
      </c>
      <c r="CU35" s="245">
        <v>1.006</v>
      </c>
      <c r="CV35" s="245" t="s">
        <v>621</v>
      </c>
      <c r="CW35" s="245" t="s">
        <v>621</v>
      </c>
      <c r="CX35" s="245" t="s">
        <v>621</v>
      </c>
      <c r="CY35" s="245" t="s">
        <v>621</v>
      </c>
      <c r="CZ35" s="245" t="s">
        <v>621</v>
      </c>
      <c r="DA35" s="245" t="s">
        <v>621</v>
      </c>
      <c r="DB35" s="256">
        <f t="shared" si="0"/>
        <v>1.006</v>
      </c>
      <c r="DC35" s="245" t="s">
        <v>621</v>
      </c>
      <c r="DD35" s="245" t="s">
        <v>621</v>
      </c>
      <c r="DE35" s="245" t="s">
        <v>621</v>
      </c>
      <c r="DF35" s="245" t="s">
        <v>621</v>
      </c>
      <c r="DG35" s="245" t="s">
        <v>621</v>
      </c>
      <c r="DH35" s="245" t="s">
        <v>621</v>
      </c>
      <c r="DI35" s="245">
        <v>1.006</v>
      </c>
      <c r="DJ35" s="245" t="s">
        <v>621</v>
      </c>
      <c r="DK35" s="245" t="s">
        <v>621</v>
      </c>
      <c r="DL35" s="245"/>
    </row>
    <row r="36" spans="1:116" s="913" customFormat="1" ht="40.5" x14ac:dyDescent="0.25">
      <c r="A36" s="153" t="s">
        <v>1659</v>
      </c>
      <c r="B36" s="908" t="s">
        <v>1671</v>
      </c>
      <c r="C36" s="911" t="s">
        <v>1683</v>
      </c>
      <c r="D36" s="245" t="s">
        <v>621</v>
      </c>
      <c r="E36" s="245" t="s">
        <v>621</v>
      </c>
      <c r="F36" s="245" t="s">
        <v>621</v>
      </c>
      <c r="G36" s="245" t="s">
        <v>621</v>
      </c>
      <c r="H36" s="245" t="s">
        <v>621</v>
      </c>
      <c r="I36" s="245" t="s">
        <v>621</v>
      </c>
      <c r="J36" s="245" t="s">
        <v>621</v>
      </c>
      <c r="K36" s="245" t="s">
        <v>621</v>
      </c>
      <c r="L36" s="245" t="s">
        <v>621</v>
      </c>
      <c r="M36" s="245" t="s">
        <v>621</v>
      </c>
      <c r="N36" s="245" t="s">
        <v>621</v>
      </c>
      <c r="O36" s="257">
        <f>'4'!AS37</f>
        <v>2.3039999999999998</v>
      </c>
      <c r="P36" s="245" t="s">
        <v>621</v>
      </c>
      <c r="Q36" s="245" t="s">
        <v>621</v>
      </c>
      <c r="R36" s="245" t="s">
        <v>621</v>
      </c>
      <c r="S36" s="245" t="s">
        <v>621</v>
      </c>
      <c r="T36" s="245" t="s">
        <v>621</v>
      </c>
      <c r="U36" s="245" t="s">
        <v>621</v>
      </c>
      <c r="V36" s="245" t="s">
        <v>621</v>
      </c>
      <c r="W36" s="245" t="s">
        <v>621</v>
      </c>
      <c r="X36" s="245" t="s">
        <v>621</v>
      </c>
      <c r="Y36" s="245" t="s">
        <v>621</v>
      </c>
      <c r="Z36" s="245" t="s">
        <v>621</v>
      </c>
      <c r="AA36" s="245" t="s">
        <v>621</v>
      </c>
      <c r="AB36" s="245" t="s">
        <v>621</v>
      </c>
      <c r="AC36" s="245" t="s">
        <v>621</v>
      </c>
      <c r="AD36" s="245" t="s">
        <v>621</v>
      </c>
      <c r="AE36" s="245" t="s">
        <v>621</v>
      </c>
      <c r="AF36" s="245" t="s">
        <v>621</v>
      </c>
      <c r="AG36" s="245" t="s">
        <v>621</v>
      </c>
      <c r="AH36" s="245" t="s">
        <v>621</v>
      </c>
      <c r="AI36" s="245" t="s">
        <v>621</v>
      </c>
      <c r="AJ36" s="245" t="s">
        <v>621</v>
      </c>
      <c r="AK36" s="245" t="s">
        <v>621</v>
      </c>
      <c r="AL36" s="245" t="s">
        <v>621</v>
      </c>
      <c r="AM36" s="245" t="s">
        <v>621</v>
      </c>
      <c r="AN36" s="245" t="s">
        <v>621</v>
      </c>
      <c r="AO36" s="245" t="s">
        <v>621</v>
      </c>
      <c r="AP36" s="245" t="s">
        <v>621</v>
      </c>
      <c r="AQ36" s="245">
        <v>0</v>
      </c>
      <c r="AR36" s="245" t="s">
        <v>621</v>
      </c>
      <c r="AS36" s="245" t="s">
        <v>621</v>
      </c>
      <c r="AT36" s="245" t="s">
        <v>621</v>
      </c>
      <c r="AU36" s="245" t="s">
        <v>621</v>
      </c>
      <c r="AV36" s="245" t="s">
        <v>621</v>
      </c>
      <c r="AW36" s="245" t="s">
        <v>621</v>
      </c>
      <c r="AX36" s="245">
        <v>0</v>
      </c>
      <c r="AY36" s="245" t="s">
        <v>621</v>
      </c>
      <c r="AZ36" s="245" t="s">
        <v>621</v>
      </c>
      <c r="BA36" s="245" t="s">
        <v>621</v>
      </c>
      <c r="BB36" s="245" t="s">
        <v>621</v>
      </c>
      <c r="BC36" s="245" t="s">
        <v>621</v>
      </c>
      <c r="BD36" s="245" t="s">
        <v>621</v>
      </c>
      <c r="BE36" s="245">
        <f>'4'!AS37</f>
        <v>2.3039999999999998</v>
      </c>
      <c r="BF36" s="245" t="s">
        <v>621</v>
      </c>
      <c r="BG36" s="245" t="s">
        <v>621</v>
      </c>
      <c r="BH36" s="245" t="s">
        <v>621</v>
      </c>
      <c r="BI36" s="245" t="s">
        <v>621</v>
      </c>
      <c r="BJ36" s="245" t="s">
        <v>621</v>
      </c>
      <c r="BK36" s="245" t="s">
        <v>621</v>
      </c>
      <c r="BL36" s="245" t="s">
        <v>621</v>
      </c>
      <c r="BM36" s="245" t="s">
        <v>621</v>
      </c>
      <c r="BN36" s="245" t="s">
        <v>621</v>
      </c>
      <c r="BO36" s="245" t="s">
        <v>621</v>
      </c>
      <c r="BP36" s="245" t="s">
        <v>621</v>
      </c>
      <c r="BQ36" s="245" t="s">
        <v>621</v>
      </c>
      <c r="BR36" s="245" t="s">
        <v>621</v>
      </c>
      <c r="BS36" s="245">
        <f>'4'!BG37</f>
        <v>0</v>
      </c>
      <c r="BT36" s="245" t="s">
        <v>621</v>
      </c>
      <c r="BU36" s="245" t="s">
        <v>621</v>
      </c>
      <c r="BV36" s="245" t="s">
        <v>621</v>
      </c>
      <c r="BW36" s="245" t="s">
        <v>621</v>
      </c>
      <c r="BX36" s="245" t="s">
        <v>621</v>
      </c>
      <c r="BY36" s="245" t="s">
        <v>621</v>
      </c>
      <c r="BZ36" s="245" t="s">
        <v>621</v>
      </c>
      <c r="CA36" s="245" t="s">
        <v>621</v>
      </c>
      <c r="CB36" s="245" t="s">
        <v>621</v>
      </c>
      <c r="CC36" s="245" t="s">
        <v>621</v>
      </c>
      <c r="CD36" s="245" t="s">
        <v>621</v>
      </c>
      <c r="CE36" s="245" t="s">
        <v>621</v>
      </c>
      <c r="CF36" s="245" t="s">
        <v>621</v>
      </c>
      <c r="CG36" s="245" t="s">
        <v>621</v>
      </c>
      <c r="CH36" s="245" t="s">
        <v>621</v>
      </c>
      <c r="CI36" s="245" t="s">
        <v>621</v>
      </c>
      <c r="CJ36" s="245" t="s">
        <v>621</v>
      </c>
      <c r="CK36" s="245" t="s">
        <v>621</v>
      </c>
      <c r="CL36" s="245" t="s">
        <v>621</v>
      </c>
      <c r="CM36" s="245" t="s">
        <v>621</v>
      </c>
      <c r="CN36" s="245" t="s">
        <v>621</v>
      </c>
      <c r="CO36" s="245" t="s">
        <v>621</v>
      </c>
      <c r="CP36" s="245" t="s">
        <v>621</v>
      </c>
      <c r="CQ36" s="245" t="s">
        <v>621</v>
      </c>
      <c r="CR36" s="245" t="s">
        <v>621</v>
      </c>
      <c r="CS36" s="245" t="s">
        <v>621</v>
      </c>
      <c r="CT36" s="245" t="s">
        <v>621</v>
      </c>
      <c r="CU36" s="245" t="s">
        <v>621</v>
      </c>
      <c r="CV36" s="245" t="s">
        <v>621</v>
      </c>
      <c r="CW36" s="245" t="s">
        <v>621</v>
      </c>
      <c r="CX36" s="245" t="s">
        <v>621</v>
      </c>
      <c r="CY36" s="245" t="s">
        <v>621</v>
      </c>
      <c r="CZ36" s="245" t="s">
        <v>621</v>
      </c>
      <c r="DA36" s="245" t="s">
        <v>621</v>
      </c>
      <c r="DB36" s="245" t="s">
        <v>621</v>
      </c>
      <c r="DC36" s="245" t="s">
        <v>621</v>
      </c>
      <c r="DD36" s="245" t="s">
        <v>621</v>
      </c>
      <c r="DE36" s="245" t="s">
        <v>621</v>
      </c>
      <c r="DF36" s="245" t="s">
        <v>621</v>
      </c>
      <c r="DG36" s="245" t="s">
        <v>621</v>
      </c>
      <c r="DH36" s="245" t="s">
        <v>621</v>
      </c>
      <c r="DI36" s="257">
        <f>O36</f>
        <v>2.3039999999999998</v>
      </c>
      <c r="DJ36" s="245" t="s">
        <v>621</v>
      </c>
      <c r="DK36" s="245" t="s">
        <v>621</v>
      </c>
      <c r="DL36" s="245"/>
    </row>
    <row r="37" spans="1:116" s="913" customFormat="1" ht="40.5" x14ac:dyDescent="0.25">
      <c r="A37" s="153" t="s">
        <v>1660</v>
      </c>
      <c r="B37" s="908" t="s">
        <v>1672</v>
      </c>
      <c r="C37" s="911" t="s">
        <v>1684</v>
      </c>
      <c r="D37" s="245" t="s">
        <v>621</v>
      </c>
      <c r="E37" s="245" t="s">
        <v>621</v>
      </c>
      <c r="F37" s="245" t="s">
        <v>621</v>
      </c>
      <c r="G37" s="245" t="s">
        <v>621</v>
      </c>
      <c r="H37" s="245" t="s">
        <v>621</v>
      </c>
      <c r="I37" s="245" t="s">
        <v>621</v>
      </c>
      <c r="J37" s="245" t="s">
        <v>621</v>
      </c>
      <c r="K37" s="245" t="s">
        <v>621</v>
      </c>
      <c r="L37" s="245" t="s">
        <v>621</v>
      </c>
      <c r="M37" s="245" t="s">
        <v>621</v>
      </c>
      <c r="N37" s="245" t="s">
        <v>621</v>
      </c>
      <c r="O37" s="257">
        <f>'4'!AS38</f>
        <v>0.95899999999999996</v>
      </c>
      <c r="P37" s="245" t="s">
        <v>621</v>
      </c>
      <c r="Q37" s="245" t="s">
        <v>621</v>
      </c>
      <c r="R37" s="245" t="s">
        <v>621</v>
      </c>
      <c r="S37" s="245" t="s">
        <v>621</v>
      </c>
      <c r="T37" s="245" t="s">
        <v>621</v>
      </c>
      <c r="U37" s="245" t="s">
        <v>621</v>
      </c>
      <c r="V37" s="245" t="s">
        <v>621</v>
      </c>
      <c r="W37" s="245" t="s">
        <v>621</v>
      </c>
      <c r="X37" s="245" t="s">
        <v>621</v>
      </c>
      <c r="Y37" s="245" t="s">
        <v>621</v>
      </c>
      <c r="Z37" s="245" t="s">
        <v>621</v>
      </c>
      <c r="AA37" s="245" t="s">
        <v>621</v>
      </c>
      <c r="AB37" s="245" t="s">
        <v>621</v>
      </c>
      <c r="AC37" s="245" t="s">
        <v>621</v>
      </c>
      <c r="AD37" s="245" t="s">
        <v>621</v>
      </c>
      <c r="AE37" s="245" t="s">
        <v>621</v>
      </c>
      <c r="AF37" s="245" t="s">
        <v>621</v>
      </c>
      <c r="AG37" s="245" t="s">
        <v>621</v>
      </c>
      <c r="AH37" s="245" t="s">
        <v>621</v>
      </c>
      <c r="AI37" s="245" t="s">
        <v>621</v>
      </c>
      <c r="AJ37" s="245" t="s">
        <v>621</v>
      </c>
      <c r="AK37" s="245" t="s">
        <v>621</v>
      </c>
      <c r="AL37" s="245" t="s">
        <v>621</v>
      </c>
      <c r="AM37" s="245" t="s">
        <v>621</v>
      </c>
      <c r="AN37" s="245" t="s">
        <v>621</v>
      </c>
      <c r="AO37" s="245" t="s">
        <v>621</v>
      </c>
      <c r="AP37" s="245" t="s">
        <v>621</v>
      </c>
      <c r="AQ37" s="245">
        <v>0</v>
      </c>
      <c r="AR37" s="245" t="s">
        <v>621</v>
      </c>
      <c r="AS37" s="245" t="s">
        <v>621</v>
      </c>
      <c r="AT37" s="245" t="s">
        <v>621</v>
      </c>
      <c r="AU37" s="245" t="s">
        <v>621</v>
      </c>
      <c r="AV37" s="245" t="s">
        <v>621</v>
      </c>
      <c r="AW37" s="245" t="s">
        <v>621</v>
      </c>
      <c r="AX37" s="245">
        <v>0</v>
      </c>
      <c r="AY37" s="245" t="s">
        <v>621</v>
      </c>
      <c r="AZ37" s="245" t="s">
        <v>621</v>
      </c>
      <c r="BA37" s="245" t="s">
        <v>621</v>
      </c>
      <c r="BB37" s="245" t="s">
        <v>621</v>
      </c>
      <c r="BC37" s="245" t="s">
        <v>621</v>
      </c>
      <c r="BD37" s="245" t="s">
        <v>621</v>
      </c>
      <c r="BE37" s="245">
        <f>'4'!AS38</f>
        <v>0.95899999999999996</v>
      </c>
      <c r="BF37" s="245" t="s">
        <v>621</v>
      </c>
      <c r="BG37" s="245" t="s">
        <v>621</v>
      </c>
      <c r="BH37" s="245" t="s">
        <v>621</v>
      </c>
      <c r="BI37" s="245" t="s">
        <v>621</v>
      </c>
      <c r="BJ37" s="245" t="s">
        <v>621</v>
      </c>
      <c r="BK37" s="245" t="s">
        <v>621</v>
      </c>
      <c r="BL37" s="245" t="s">
        <v>621</v>
      </c>
      <c r="BM37" s="245" t="s">
        <v>621</v>
      </c>
      <c r="BN37" s="245" t="s">
        <v>621</v>
      </c>
      <c r="BO37" s="245" t="s">
        <v>621</v>
      </c>
      <c r="BP37" s="245" t="s">
        <v>621</v>
      </c>
      <c r="BQ37" s="245" t="s">
        <v>621</v>
      </c>
      <c r="BR37" s="245" t="s">
        <v>621</v>
      </c>
      <c r="BS37" s="245">
        <f>'4'!BG38</f>
        <v>0</v>
      </c>
      <c r="BT37" s="245" t="s">
        <v>621</v>
      </c>
      <c r="BU37" s="245" t="s">
        <v>621</v>
      </c>
      <c r="BV37" s="245" t="s">
        <v>621</v>
      </c>
      <c r="BW37" s="245" t="s">
        <v>621</v>
      </c>
      <c r="BX37" s="245" t="s">
        <v>621</v>
      </c>
      <c r="BY37" s="245" t="s">
        <v>621</v>
      </c>
      <c r="BZ37" s="245" t="s">
        <v>621</v>
      </c>
      <c r="CA37" s="245" t="s">
        <v>621</v>
      </c>
      <c r="CB37" s="245" t="s">
        <v>621</v>
      </c>
      <c r="CC37" s="245" t="s">
        <v>621</v>
      </c>
      <c r="CD37" s="245" t="s">
        <v>621</v>
      </c>
      <c r="CE37" s="245" t="s">
        <v>621</v>
      </c>
      <c r="CF37" s="245" t="s">
        <v>621</v>
      </c>
      <c r="CG37" s="245" t="s">
        <v>621</v>
      </c>
      <c r="CH37" s="245" t="s">
        <v>621</v>
      </c>
      <c r="CI37" s="245" t="s">
        <v>621</v>
      </c>
      <c r="CJ37" s="245" t="s">
        <v>621</v>
      </c>
      <c r="CK37" s="245" t="s">
        <v>621</v>
      </c>
      <c r="CL37" s="245" t="s">
        <v>621</v>
      </c>
      <c r="CM37" s="245" t="s">
        <v>621</v>
      </c>
      <c r="CN37" s="245" t="s">
        <v>621</v>
      </c>
      <c r="CO37" s="245" t="s">
        <v>621</v>
      </c>
      <c r="CP37" s="245" t="s">
        <v>621</v>
      </c>
      <c r="CQ37" s="245" t="s">
        <v>621</v>
      </c>
      <c r="CR37" s="245" t="s">
        <v>621</v>
      </c>
      <c r="CS37" s="245" t="s">
        <v>621</v>
      </c>
      <c r="CT37" s="245" t="s">
        <v>621</v>
      </c>
      <c r="CU37" s="245" t="s">
        <v>621</v>
      </c>
      <c r="CV37" s="245" t="s">
        <v>621</v>
      </c>
      <c r="CW37" s="245" t="s">
        <v>621</v>
      </c>
      <c r="CX37" s="245" t="s">
        <v>621</v>
      </c>
      <c r="CY37" s="245" t="s">
        <v>621</v>
      </c>
      <c r="CZ37" s="245" t="s">
        <v>621</v>
      </c>
      <c r="DA37" s="245" t="s">
        <v>621</v>
      </c>
      <c r="DB37" s="245" t="s">
        <v>621</v>
      </c>
      <c r="DC37" s="245" t="s">
        <v>621</v>
      </c>
      <c r="DD37" s="245" t="s">
        <v>621</v>
      </c>
      <c r="DE37" s="245" t="s">
        <v>621</v>
      </c>
      <c r="DF37" s="245" t="s">
        <v>621</v>
      </c>
      <c r="DG37" s="245" t="s">
        <v>621</v>
      </c>
      <c r="DH37" s="245" t="s">
        <v>621</v>
      </c>
      <c r="DI37" s="257">
        <f t="shared" ref="DI37:DI48" si="1">O37</f>
        <v>0.95899999999999996</v>
      </c>
      <c r="DJ37" s="245" t="s">
        <v>621</v>
      </c>
      <c r="DK37" s="245" t="s">
        <v>621</v>
      </c>
      <c r="DL37" s="245"/>
    </row>
    <row r="38" spans="1:116" s="913" customFormat="1" ht="40.5" x14ac:dyDescent="0.25">
      <c r="A38" s="153" t="s">
        <v>1661</v>
      </c>
      <c r="B38" s="908" t="s">
        <v>1673</v>
      </c>
      <c r="C38" s="911" t="s">
        <v>1685</v>
      </c>
      <c r="D38" s="245" t="s">
        <v>621</v>
      </c>
      <c r="E38" s="245" t="s">
        <v>621</v>
      </c>
      <c r="F38" s="245" t="s">
        <v>621</v>
      </c>
      <c r="G38" s="245" t="s">
        <v>621</v>
      </c>
      <c r="H38" s="245" t="s">
        <v>621</v>
      </c>
      <c r="I38" s="245" t="s">
        <v>621</v>
      </c>
      <c r="J38" s="245" t="s">
        <v>621</v>
      </c>
      <c r="K38" s="245" t="s">
        <v>621</v>
      </c>
      <c r="L38" s="245" t="s">
        <v>621</v>
      </c>
      <c r="M38" s="245" t="s">
        <v>621</v>
      </c>
      <c r="N38" s="245" t="s">
        <v>621</v>
      </c>
      <c r="O38" s="257">
        <f>'4'!AS39</f>
        <v>0.58199999999999996</v>
      </c>
      <c r="P38" s="245" t="s">
        <v>621</v>
      </c>
      <c r="Q38" s="245" t="s">
        <v>621</v>
      </c>
      <c r="R38" s="245" t="s">
        <v>621</v>
      </c>
      <c r="S38" s="245" t="s">
        <v>621</v>
      </c>
      <c r="T38" s="245" t="s">
        <v>621</v>
      </c>
      <c r="U38" s="245" t="s">
        <v>621</v>
      </c>
      <c r="V38" s="245" t="s">
        <v>621</v>
      </c>
      <c r="W38" s="245" t="s">
        <v>621</v>
      </c>
      <c r="X38" s="245" t="s">
        <v>621</v>
      </c>
      <c r="Y38" s="245" t="s">
        <v>621</v>
      </c>
      <c r="Z38" s="245" t="s">
        <v>621</v>
      </c>
      <c r="AA38" s="245" t="s">
        <v>621</v>
      </c>
      <c r="AB38" s="245" t="s">
        <v>621</v>
      </c>
      <c r="AC38" s="245" t="s">
        <v>621</v>
      </c>
      <c r="AD38" s="245" t="s">
        <v>621</v>
      </c>
      <c r="AE38" s="245" t="s">
        <v>621</v>
      </c>
      <c r="AF38" s="245" t="s">
        <v>621</v>
      </c>
      <c r="AG38" s="245" t="s">
        <v>621</v>
      </c>
      <c r="AH38" s="245" t="s">
        <v>621</v>
      </c>
      <c r="AI38" s="245" t="s">
        <v>621</v>
      </c>
      <c r="AJ38" s="245" t="s">
        <v>621</v>
      </c>
      <c r="AK38" s="245" t="s">
        <v>621</v>
      </c>
      <c r="AL38" s="245" t="s">
        <v>621</v>
      </c>
      <c r="AM38" s="245" t="s">
        <v>621</v>
      </c>
      <c r="AN38" s="245" t="s">
        <v>621</v>
      </c>
      <c r="AO38" s="245" t="s">
        <v>621</v>
      </c>
      <c r="AP38" s="245" t="s">
        <v>621</v>
      </c>
      <c r="AQ38" s="245">
        <v>0</v>
      </c>
      <c r="AR38" s="245" t="s">
        <v>621</v>
      </c>
      <c r="AS38" s="245" t="s">
        <v>621</v>
      </c>
      <c r="AT38" s="245" t="s">
        <v>621</v>
      </c>
      <c r="AU38" s="245" t="s">
        <v>621</v>
      </c>
      <c r="AV38" s="245" t="s">
        <v>621</v>
      </c>
      <c r="AW38" s="245" t="s">
        <v>621</v>
      </c>
      <c r="AX38" s="245">
        <v>0</v>
      </c>
      <c r="AY38" s="245" t="s">
        <v>621</v>
      </c>
      <c r="AZ38" s="245" t="s">
        <v>621</v>
      </c>
      <c r="BA38" s="245" t="s">
        <v>621</v>
      </c>
      <c r="BB38" s="245" t="s">
        <v>621</v>
      </c>
      <c r="BC38" s="245" t="s">
        <v>621</v>
      </c>
      <c r="BD38" s="245" t="s">
        <v>621</v>
      </c>
      <c r="BE38" s="245">
        <f>'4'!AS39</f>
        <v>0.58199999999999996</v>
      </c>
      <c r="BF38" s="245" t="s">
        <v>621</v>
      </c>
      <c r="BG38" s="245" t="s">
        <v>621</v>
      </c>
      <c r="BH38" s="245" t="s">
        <v>621</v>
      </c>
      <c r="BI38" s="245" t="s">
        <v>621</v>
      </c>
      <c r="BJ38" s="245" t="s">
        <v>621</v>
      </c>
      <c r="BK38" s="245" t="s">
        <v>621</v>
      </c>
      <c r="BL38" s="245" t="s">
        <v>621</v>
      </c>
      <c r="BM38" s="245" t="s">
        <v>621</v>
      </c>
      <c r="BN38" s="245" t="s">
        <v>621</v>
      </c>
      <c r="BO38" s="245" t="s">
        <v>621</v>
      </c>
      <c r="BP38" s="245" t="s">
        <v>621</v>
      </c>
      <c r="BQ38" s="245" t="s">
        <v>621</v>
      </c>
      <c r="BR38" s="245" t="s">
        <v>621</v>
      </c>
      <c r="BS38" s="245">
        <f>'4'!BG39</f>
        <v>0</v>
      </c>
      <c r="BT38" s="245" t="s">
        <v>621</v>
      </c>
      <c r="BU38" s="245" t="s">
        <v>621</v>
      </c>
      <c r="BV38" s="245" t="s">
        <v>621</v>
      </c>
      <c r="BW38" s="245" t="s">
        <v>621</v>
      </c>
      <c r="BX38" s="245" t="s">
        <v>621</v>
      </c>
      <c r="BY38" s="245" t="s">
        <v>621</v>
      </c>
      <c r="BZ38" s="245" t="s">
        <v>621</v>
      </c>
      <c r="CA38" s="245" t="s">
        <v>621</v>
      </c>
      <c r="CB38" s="245" t="s">
        <v>621</v>
      </c>
      <c r="CC38" s="245" t="s">
        <v>621</v>
      </c>
      <c r="CD38" s="245" t="s">
        <v>621</v>
      </c>
      <c r="CE38" s="245" t="s">
        <v>621</v>
      </c>
      <c r="CF38" s="245" t="s">
        <v>621</v>
      </c>
      <c r="CG38" s="245" t="s">
        <v>621</v>
      </c>
      <c r="CH38" s="245" t="s">
        <v>621</v>
      </c>
      <c r="CI38" s="245" t="s">
        <v>621</v>
      </c>
      <c r="CJ38" s="245" t="s">
        <v>621</v>
      </c>
      <c r="CK38" s="245" t="s">
        <v>621</v>
      </c>
      <c r="CL38" s="245" t="s">
        <v>621</v>
      </c>
      <c r="CM38" s="245" t="s">
        <v>621</v>
      </c>
      <c r="CN38" s="245" t="s">
        <v>621</v>
      </c>
      <c r="CO38" s="245" t="s">
        <v>621</v>
      </c>
      <c r="CP38" s="245" t="s">
        <v>621</v>
      </c>
      <c r="CQ38" s="245" t="s">
        <v>621</v>
      </c>
      <c r="CR38" s="245" t="s">
        <v>621</v>
      </c>
      <c r="CS38" s="245" t="s">
        <v>621</v>
      </c>
      <c r="CT38" s="245" t="s">
        <v>621</v>
      </c>
      <c r="CU38" s="245" t="s">
        <v>621</v>
      </c>
      <c r="CV38" s="245" t="s">
        <v>621</v>
      </c>
      <c r="CW38" s="245" t="s">
        <v>621</v>
      </c>
      <c r="CX38" s="245" t="s">
        <v>621</v>
      </c>
      <c r="CY38" s="245" t="s">
        <v>621</v>
      </c>
      <c r="CZ38" s="245" t="s">
        <v>621</v>
      </c>
      <c r="DA38" s="245" t="s">
        <v>621</v>
      </c>
      <c r="DB38" s="245" t="s">
        <v>621</v>
      </c>
      <c r="DC38" s="245" t="s">
        <v>621</v>
      </c>
      <c r="DD38" s="245" t="s">
        <v>621</v>
      </c>
      <c r="DE38" s="245" t="s">
        <v>621</v>
      </c>
      <c r="DF38" s="245" t="s">
        <v>621</v>
      </c>
      <c r="DG38" s="245" t="s">
        <v>621</v>
      </c>
      <c r="DH38" s="245" t="s">
        <v>621</v>
      </c>
      <c r="DI38" s="257">
        <f t="shared" si="1"/>
        <v>0.58199999999999996</v>
      </c>
      <c r="DJ38" s="245" t="s">
        <v>621</v>
      </c>
      <c r="DK38" s="245" t="s">
        <v>621</v>
      </c>
      <c r="DL38" s="245"/>
    </row>
    <row r="39" spans="1:116" s="913" customFormat="1" ht="40.5" x14ac:dyDescent="0.25">
      <c r="A39" s="153" t="s">
        <v>1662</v>
      </c>
      <c r="B39" s="908" t="s">
        <v>1674</v>
      </c>
      <c r="C39" s="911" t="s">
        <v>1686</v>
      </c>
      <c r="D39" s="245" t="s">
        <v>621</v>
      </c>
      <c r="E39" s="245" t="s">
        <v>621</v>
      </c>
      <c r="F39" s="245" t="s">
        <v>621</v>
      </c>
      <c r="G39" s="245" t="s">
        <v>621</v>
      </c>
      <c r="H39" s="245" t="s">
        <v>621</v>
      </c>
      <c r="I39" s="245" t="s">
        <v>621</v>
      </c>
      <c r="J39" s="245" t="s">
        <v>621</v>
      </c>
      <c r="K39" s="245" t="s">
        <v>621</v>
      </c>
      <c r="L39" s="245" t="s">
        <v>621</v>
      </c>
      <c r="M39" s="245" t="s">
        <v>621</v>
      </c>
      <c r="N39" s="245" t="s">
        <v>621</v>
      </c>
      <c r="O39" s="257">
        <f>'4'!AS40</f>
        <v>0.46500000000000002</v>
      </c>
      <c r="P39" s="245" t="s">
        <v>621</v>
      </c>
      <c r="Q39" s="245" t="s">
        <v>621</v>
      </c>
      <c r="R39" s="245" t="s">
        <v>621</v>
      </c>
      <c r="S39" s="245" t="s">
        <v>621</v>
      </c>
      <c r="T39" s="245" t="s">
        <v>621</v>
      </c>
      <c r="U39" s="245" t="s">
        <v>621</v>
      </c>
      <c r="V39" s="245" t="s">
        <v>621</v>
      </c>
      <c r="W39" s="245" t="s">
        <v>621</v>
      </c>
      <c r="X39" s="245" t="s">
        <v>621</v>
      </c>
      <c r="Y39" s="245" t="s">
        <v>621</v>
      </c>
      <c r="Z39" s="245" t="s">
        <v>621</v>
      </c>
      <c r="AA39" s="245" t="s">
        <v>621</v>
      </c>
      <c r="AB39" s="245" t="s">
        <v>621</v>
      </c>
      <c r="AC39" s="245" t="s">
        <v>621</v>
      </c>
      <c r="AD39" s="245" t="s">
        <v>621</v>
      </c>
      <c r="AE39" s="245" t="s">
        <v>621</v>
      </c>
      <c r="AF39" s="245" t="s">
        <v>621</v>
      </c>
      <c r="AG39" s="245" t="s">
        <v>621</v>
      </c>
      <c r="AH39" s="245" t="s">
        <v>621</v>
      </c>
      <c r="AI39" s="245" t="s">
        <v>621</v>
      </c>
      <c r="AJ39" s="245" t="s">
        <v>621</v>
      </c>
      <c r="AK39" s="245" t="s">
        <v>621</v>
      </c>
      <c r="AL39" s="245" t="s">
        <v>621</v>
      </c>
      <c r="AM39" s="245" t="s">
        <v>621</v>
      </c>
      <c r="AN39" s="245" t="s">
        <v>621</v>
      </c>
      <c r="AO39" s="245" t="s">
        <v>621</v>
      </c>
      <c r="AP39" s="245" t="s">
        <v>621</v>
      </c>
      <c r="AQ39" s="245">
        <v>0</v>
      </c>
      <c r="AR39" s="245" t="s">
        <v>621</v>
      </c>
      <c r="AS39" s="245" t="s">
        <v>621</v>
      </c>
      <c r="AT39" s="245" t="s">
        <v>621</v>
      </c>
      <c r="AU39" s="245" t="s">
        <v>621</v>
      </c>
      <c r="AV39" s="245" t="s">
        <v>621</v>
      </c>
      <c r="AW39" s="245" t="s">
        <v>621</v>
      </c>
      <c r="AX39" s="245">
        <v>0</v>
      </c>
      <c r="AY39" s="245" t="s">
        <v>621</v>
      </c>
      <c r="AZ39" s="245" t="s">
        <v>621</v>
      </c>
      <c r="BA39" s="245" t="s">
        <v>621</v>
      </c>
      <c r="BB39" s="245" t="s">
        <v>621</v>
      </c>
      <c r="BC39" s="245" t="s">
        <v>621</v>
      </c>
      <c r="BD39" s="245" t="s">
        <v>621</v>
      </c>
      <c r="BE39" s="245">
        <f>'4'!AS40</f>
        <v>0.46500000000000002</v>
      </c>
      <c r="BF39" s="245" t="s">
        <v>621</v>
      </c>
      <c r="BG39" s="245" t="s">
        <v>621</v>
      </c>
      <c r="BH39" s="245" t="s">
        <v>621</v>
      </c>
      <c r="BI39" s="245" t="s">
        <v>621</v>
      </c>
      <c r="BJ39" s="245" t="s">
        <v>621</v>
      </c>
      <c r="BK39" s="245" t="s">
        <v>621</v>
      </c>
      <c r="BL39" s="245" t="s">
        <v>621</v>
      </c>
      <c r="BM39" s="245" t="s">
        <v>621</v>
      </c>
      <c r="BN39" s="245" t="s">
        <v>621</v>
      </c>
      <c r="BO39" s="245" t="s">
        <v>621</v>
      </c>
      <c r="BP39" s="245" t="s">
        <v>621</v>
      </c>
      <c r="BQ39" s="245" t="s">
        <v>621</v>
      </c>
      <c r="BR39" s="245" t="s">
        <v>621</v>
      </c>
      <c r="BS39" s="245">
        <f>'4'!BG40</f>
        <v>0</v>
      </c>
      <c r="BT39" s="245" t="s">
        <v>621</v>
      </c>
      <c r="BU39" s="245" t="s">
        <v>621</v>
      </c>
      <c r="BV39" s="245" t="s">
        <v>621</v>
      </c>
      <c r="BW39" s="245" t="s">
        <v>621</v>
      </c>
      <c r="BX39" s="245" t="s">
        <v>621</v>
      </c>
      <c r="BY39" s="245" t="s">
        <v>621</v>
      </c>
      <c r="BZ39" s="245" t="s">
        <v>621</v>
      </c>
      <c r="CA39" s="245" t="s">
        <v>621</v>
      </c>
      <c r="CB39" s="245" t="s">
        <v>621</v>
      </c>
      <c r="CC39" s="245" t="s">
        <v>621</v>
      </c>
      <c r="CD39" s="245" t="s">
        <v>621</v>
      </c>
      <c r="CE39" s="245" t="s">
        <v>621</v>
      </c>
      <c r="CF39" s="245" t="s">
        <v>621</v>
      </c>
      <c r="CG39" s="245" t="s">
        <v>621</v>
      </c>
      <c r="CH39" s="245" t="s">
        <v>621</v>
      </c>
      <c r="CI39" s="245" t="s">
        <v>621</v>
      </c>
      <c r="CJ39" s="245" t="s">
        <v>621</v>
      </c>
      <c r="CK39" s="245" t="s">
        <v>621</v>
      </c>
      <c r="CL39" s="245" t="s">
        <v>621</v>
      </c>
      <c r="CM39" s="245" t="s">
        <v>621</v>
      </c>
      <c r="CN39" s="245" t="s">
        <v>621</v>
      </c>
      <c r="CO39" s="245" t="s">
        <v>621</v>
      </c>
      <c r="CP39" s="245" t="s">
        <v>621</v>
      </c>
      <c r="CQ39" s="245" t="s">
        <v>621</v>
      </c>
      <c r="CR39" s="245" t="s">
        <v>621</v>
      </c>
      <c r="CS39" s="245" t="s">
        <v>621</v>
      </c>
      <c r="CT39" s="245" t="s">
        <v>621</v>
      </c>
      <c r="CU39" s="245" t="s">
        <v>621</v>
      </c>
      <c r="CV39" s="245" t="s">
        <v>621</v>
      </c>
      <c r="CW39" s="245" t="s">
        <v>621</v>
      </c>
      <c r="CX39" s="245" t="s">
        <v>621</v>
      </c>
      <c r="CY39" s="245" t="s">
        <v>621</v>
      </c>
      <c r="CZ39" s="245" t="s">
        <v>621</v>
      </c>
      <c r="DA39" s="245" t="s">
        <v>621</v>
      </c>
      <c r="DB39" s="245" t="s">
        <v>621</v>
      </c>
      <c r="DC39" s="245" t="s">
        <v>621</v>
      </c>
      <c r="DD39" s="245" t="s">
        <v>621</v>
      </c>
      <c r="DE39" s="245" t="s">
        <v>621</v>
      </c>
      <c r="DF39" s="245" t="s">
        <v>621</v>
      </c>
      <c r="DG39" s="245" t="s">
        <v>621</v>
      </c>
      <c r="DH39" s="245" t="s">
        <v>621</v>
      </c>
      <c r="DI39" s="257">
        <f t="shared" si="1"/>
        <v>0.46500000000000002</v>
      </c>
      <c r="DJ39" s="245" t="s">
        <v>621</v>
      </c>
      <c r="DK39" s="245" t="s">
        <v>621</v>
      </c>
      <c r="DL39" s="245"/>
    </row>
    <row r="40" spans="1:116" s="913" customFormat="1" ht="40.5" x14ac:dyDescent="0.25">
      <c r="A40" s="153" t="s">
        <v>1663</v>
      </c>
      <c r="B40" s="908" t="s">
        <v>1675</v>
      </c>
      <c r="C40" s="911" t="s">
        <v>1687</v>
      </c>
      <c r="D40" s="245" t="s">
        <v>621</v>
      </c>
      <c r="E40" s="245" t="s">
        <v>621</v>
      </c>
      <c r="F40" s="245" t="s">
        <v>621</v>
      </c>
      <c r="G40" s="245" t="s">
        <v>621</v>
      </c>
      <c r="H40" s="245" t="s">
        <v>621</v>
      </c>
      <c r="I40" s="245" t="s">
        <v>621</v>
      </c>
      <c r="J40" s="245" t="s">
        <v>621</v>
      </c>
      <c r="K40" s="245" t="s">
        <v>621</v>
      </c>
      <c r="L40" s="245" t="s">
        <v>621</v>
      </c>
      <c r="M40" s="245" t="s">
        <v>621</v>
      </c>
      <c r="N40" s="245" t="s">
        <v>621</v>
      </c>
      <c r="O40" s="257">
        <f>'4'!AS41</f>
        <v>0.33800000000000002</v>
      </c>
      <c r="P40" s="245" t="s">
        <v>621</v>
      </c>
      <c r="Q40" s="245" t="s">
        <v>621</v>
      </c>
      <c r="R40" s="245" t="s">
        <v>621</v>
      </c>
      <c r="S40" s="245" t="s">
        <v>621</v>
      </c>
      <c r="T40" s="245" t="s">
        <v>621</v>
      </c>
      <c r="U40" s="245" t="s">
        <v>621</v>
      </c>
      <c r="V40" s="245" t="s">
        <v>621</v>
      </c>
      <c r="W40" s="245" t="s">
        <v>621</v>
      </c>
      <c r="X40" s="245" t="s">
        <v>621</v>
      </c>
      <c r="Y40" s="245" t="s">
        <v>621</v>
      </c>
      <c r="Z40" s="245" t="s">
        <v>621</v>
      </c>
      <c r="AA40" s="245" t="s">
        <v>621</v>
      </c>
      <c r="AB40" s="245" t="s">
        <v>621</v>
      </c>
      <c r="AC40" s="245" t="s">
        <v>621</v>
      </c>
      <c r="AD40" s="245" t="s">
        <v>621</v>
      </c>
      <c r="AE40" s="245" t="s">
        <v>621</v>
      </c>
      <c r="AF40" s="245" t="s">
        <v>621</v>
      </c>
      <c r="AG40" s="245" t="s">
        <v>621</v>
      </c>
      <c r="AH40" s="245" t="s">
        <v>621</v>
      </c>
      <c r="AI40" s="245" t="s">
        <v>621</v>
      </c>
      <c r="AJ40" s="245" t="s">
        <v>621</v>
      </c>
      <c r="AK40" s="245" t="s">
        <v>621</v>
      </c>
      <c r="AL40" s="245" t="s">
        <v>621</v>
      </c>
      <c r="AM40" s="245" t="s">
        <v>621</v>
      </c>
      <c r="AN40" s="245" t="s">
        <v>621</v>
      </c>
      <c r="AO40" s="245" t="s">
        <v>621</v>
      </c>
      <c r="AP40" s="245" t="s">
        <v>621</v>
      </c>
      <c r="AQ40" s="245">
        <v>0</v>
      </c>
      <c r="AR40" s="245" t="s">
        <v>621</v>
      </c>
      <c r="AS40" s="245" t="s">
        <v>621</v>
      </c>
      <c r="AT40" s="245" t="s">
        <v>621</v>
      </c>
      <c r="AU40" s="245" t="s">
        <v>621</v>
      </c>
      <c r="AV40" s="245" t="s">
        <v>621</v>
      </c>
      <c r="AW40" s="245" t="s">
        <v>621</v>
      </c>
      <c r="AX40" s="245">
        <v>0</v>
      </c>
      <c r="AY40" s="245" t="s">
        <v>621</v>
      </c>
      <c r="AZ40" s="245" t="s">
        <v>621</v>
      </c>
      <c r="BA40" s="245" t="s">
        <v>621</v>
      </c>
      <c r="BB40" s="245" t="s">
        <v>621</v>
      </c>
      <c r="BC40" s="245" t="s">
        <v>621</v>
      </c>
      <c r="BD40" s="245" t="s">
        <v>621</v>
      </c>
      <c r="BE40" s="245">
        <f>'4'!AS41</f>
        <v>0.33800000000000002</v>
      </c>
      <c r="BF40" s="245" t="s">
        <v>621</v>
      </c>
      <c r="BG40" s="245" t="s">
        <v>621</v>
      </c>
      <c r="BH40" s="245" t="s">
        <v>621</v>
      </c>
      <c r="BI40" s="245" t="s">
        <v>621</v>
      </c>
      <c r="BJ40" s="245" t="s">
        <v>621</v>
      </c>
      <c r="BK40" s="245" t="s">
        <v>621</v>
      </c>
      <c r="BL40" s="245" t="s">
        <v>621</v>
      </c>
      <c r="BM40" s="245" t="s">
        <v>621</v>
      </c>
      <c r="BN40" s="245" t="s">
        <v>621</v>
      </c>
      <c r="BO40" s="245" t="s">
        <v>621</v>
      </c>
      <c r="BP40" s="245" t="s">
        <v>621</v>
      </c>
      <c r="BQ40" s="245" t="s">
        <v>621</v>
      </c>
      <c r="BR40" s="245" t="s">
        <v>621</v>
      </c>
      <c r="BS40" s="245">
        <f>'4'!BG41</f>
        <v>0</v>
      </c>
      <c r="BT40" s="245" t="s">
        <v>621</v>
      </c>
      <c r="BU40" s="245" t="s">
        <v>621</v>
      </c>
      <c r="BV40" s="245" t="s">
        <v>621</v>
      </c>
      <c r="BW40" s="245" t="s">
        <v>621</v>
      </c>
      <c r="BX40" s="245" t="s">
        <v>621</v>
      </c>
      <c r="BY40" s="245" t="s">
        <v>621</v>
      </c>
      <c r="BZ40" s="245" t="s">
        <v>621</v>
      </c>
      <c r="CA40" s="245" t="s">
        <v>621</v>
      </c>
      <c r="CB40" s="245" t="s">
        <v>621</v>
      </c>
      <c r="CC40" s="245" t="s">
        <v>621</v>
      </c>
      <c r="CD40" s="245" t="s">
        <v>621</v>
      </c>
      <c r="CE40" s="245" t="s">
        <v>621</v>
      </c>
      <c r="CF40" s="245" t="s">
        <v>621</v>
      </c>
      <c r="CG40" s="245" t="s">
        <v>621</v>
      </c>
      <c r="CH40" s="245" t="s">
        <v>621</v>
      </c>
      <c r="CI40" s="245" t="s">
        <v>621</v>
      </c>
      <c r="CJ40" s="245" t="s">
        <v>621</v>
      </c>
      <c r="CK40" s="245" t="s">
        <v>621</v>
      </c>
      <c r="CL40" s="245" t="s">
        <v>621</v>
      </c>
      <c r="CM40" s="245" t="s">
        <v>621</v>
      </c>
      <c r="CN40" s="245" t="s">
        <v>621</v>
      </c>
      <c r="CO40" s="245" t="s">
        <v>621</v>
      </c>
      <c r="CP40" s="245" t="s">
        <v>621</v>
      </c>
      <c r="CQ40" s="245" t="s">
        <v>621</v>
      </c>
      <c r="CR40" s="245" t="s">
        <v>621</v>
      </c>
      <c r="CS40" s="245" t="s">
        <v>621</v>
      </c>
      <c r="CT40" s="245" t="s">
        <v>621</v>
      </c>
      <c r="CU40" s="245" t="s">
        <v>621</v>
      </c>
      <c r="CV40" s="245" t="s">
        <v>621</v>
      </c>
      <c r="CW40" s="245" t="s">
        <v>621</v>
      </c>
      <c r="CX40" s="245" t="s">
        <v>621</v>
      </c>
      <c r="CY40" s="245" t="s">
        <v>621</v>
      </c>
      <c r="CZ40" s="245" t="s">
        <v>621</v>
      </c>
      <c r="DA40" s="245" t="s">
        <v>621</v>
      </c>
      <c r="DB40" s="245" t="s">
        <v>621</v>
      </c>
      <c r="DC40" s="245" t="s">
        <v>621</v>
      </c>
      <c r="DD40" s="245" t="s">
        <v>621</v>
      </c>
      <c r="DE40" s="245" t="s">
        <v>621</v>
      </c>
      <c r="DF40" s="245" t="s">
        <v>621</v>
      </c>
      <c r="DG40" s="245" t="s">
        <v>621</v>
      </c>
      <c r="DH40" s="245" t="s">
        <v>621</v>
      </c>
      <c r="DI40" s="257">
        <f t="shared" si="1"/>
        <v>0.33800000000000002</v>
      </c>
      <c r="DJ40" s="245" t="s">
        <v>621</v>
      </c>
      <c r="DK40" s="245" t="s">
        <v>621</v>
      </c>
      <c r="DL40" s="245"/>
    </row>
    <row r="41" spans="1:116" s="913" customFormat="1" ht="40.5" x14ac:dyDescent="0.25">
      <c r="A41" s="153" t="s">
        <v>1664</v>
      </c>
      <c r="B41" s="908" t="s">
        <v>1676</v>
      </c>
      <c r="C41" s="911" t="s">
        <v>1688</v>
      </c>
      <c r="D41" s="245" t="s">
        <v>621</v>
      </c>
      <c r="E41" s="245" t="s">
        <v>621</v>
      </c>
      <c r="F41" s="245" t="s">
        <v>621</v>
      </c>
      <c r="G41" s="245" t="s">
        <v>621</v>
      </c>
      <c r="H41" s="245" t="s">
        <v>621</v>
      </c>
      <c r="I41" s="245" t="s">
        <v>621</v>
      </c>
      <c r="J41" s="245" t="s">
        <v>621</v>
      </c>
      <c r="K41" s="245" t="s">
        <v>621</v>
      </c>
      <c r="L41" s="245" t="s">
        <v>621</v>
      </c>
      <c r="M41" s="245" t="s">
        <v>621</v>
      </c>
      <c r="N41" s="245" t="s">
        <v>621</v>
      </c>
      <c r="O41" s="257">
        <f>'4'!AS42</f>
        <v>0.379</v>
      </c>
      <c r="P41" s="245" t="s">
        <v>621</v>
      </c>
      <c r="Q41" s="245" t="s">
        <v>621</v>
      </c>
      <c r="R41" s="245" t="s">
        <v>621</v>
      </c>
      <c r="S41" s="245" t="s">
        <v>621</v>
      </c>
      <c r="T41" s="245" t="s">
        <v>621</v>
      </c>
      <c r="U41" s="245" t="s">
        <v>621</v>
      </c>
      <c r="V41" s="245" t="s">
        <v>621</v>
      </c>
      <c r="W41" s="245" t="s">
        <v>621</v>
      </c>
      <c r="X41" s="245" t="s">
        <v>621</v>
      </c>
      <c r="Y41" s="245" t="s">
        <v>621</v>
      </c>
      <c r="Z41" s="245" t="s">
        <v>621</v>
      </c>
      <c r="AA41" s="245" t="s">
        <v>621</v>
      </c>
      <c r="AB41" s="245" t="s">
        <v>621</v>
      </c>
      <c r="AC41" s="245" t="s">
        <v>621</v>
      </c>
      <c r="AD41" s="245" t="s">
        <v>621</v>
      </c>
      <c r="AE41" s="245" t="s">
        <v>621</v>
      </c>
      <c r="AF41" s="245" t="s">
        <v>621</v>
      </c>
      <c r="AG41" s="245" t="s">
        <v>621</v>
      </c>
      <c r="AH41" s="245" t="s">
        <v>621</v>
      </c>
      <c r="AI41" s="245" t="s">
        <v>621</v>
      </c>
      <c r="AJ41" s="245" t="s">
        <v>621</v>
      </c>
      <c r="AK41" s="245" t="s">
        <v>621</v>
      </c>
      <c r="AL41" s="245" t="s">
        <v>621</v>
      </c>
      <c r="AM41" s="245" t="s">
        <v>621</v>
      </c>
      <c r="AN41" s="245" t="s">
        <v>621</v>
      </c>
      <c r="AO41" s="245" t="s">
        <v>621</v>
      </c>
      <c r="AP41" s="245" t="s">
        <v>621</v>
      </c>
      <c r="AQ41" s="245">
        <v>0</v>
      </c>
      <c r="AR41" s="245" t="s">
        <v>621</v>
      </c>
      <c r="AS41" s="245" t="s">
        <v>621</v>
      </c>
      <c r="AT41" s="245" t="s">
        <v>621</v>
      </c>
      <c r="AU41" s="245" t="s">
        <v>621</v>
      </c>
      <c r="AV41" s="245" t="s">
        <v>621</v>
      </c>
      <c r="AW41" s="245" t="s">
        <v>621</v>
      </c>
      <c r="AX41" s="245">
        <v>0</v>
      </c>
      <c r="AY41" s="245" t="s">
        <v>621</v>
      </c>
      <c r="AZ41" s="245" t="s">
        <v>621</v>
      </c>
      <c r="BA41" s="245" t="s">
        <v>621</v>
      </c>
      <c r="BB41" s="245" t="s">
        <v>621</v>
      </c>
      <c r="BC41" s="245" t="s">
        <v>621</v>
      </c>
      <c r="BD41" s="245" t="s">
        <v>621</v>
      </c>
      <c r="BE41" s="245">
        <f>'4'!AS42</f>
        <v>0.379</v>
      </c>
      <c r="BF41" s="245" t="s">
        <v>621</v>
      </c>
      <c r="BG41" s="245" t="s">
        <v>621</v>
      </c>
      <c r="BH41" s="245" t="s">
        <v>621</v>
      </c>
      <c r="BI41" s="245" t="s">
        <v>621</v>
      </c>
      <c r="BJ41" s="245" t="s">
        <v>621</v>
      </c>
      <c r="BK41" s="245" t="s">
        <v>621</v>
      </c>
      <c r="BL41" s="245" t="s">
        <v>621</v>
      </c>
      <c r="BM41" s="245" t="s">
        <v>621</v>
      </c>
      <c r="BN41" s="245" t="s">
        <v>621</v>
      </c>
      <c r="BO41" s="245" t="s">
        <v>621</v>
      </c>
      <c r="BP41" s="245" t="s">
        <v>621</v>
      </c>
      <c r="BQ41" s="245" t="s">
        <v>621</v>
      </c>
      <c r="BR41" s="245" t="s">
        <v>621</v>
      </c>
      <c r="BS41" s="245">
        <f>'4'!BG42</f>
        <v>0</v>
      </c>
      <c r="BT41" s="245" t="s">
        <v>621</v>
      </c>
      <c r="BU41" s="245" t="s">
        <v>621</v>
      </c>
      <c r="BV41" s="245" t="s">
        <v>621</v>
      </c>
      <c r="BW41" s="245" t="s">
        <v>621</v>
      </c>
      <c r="BX41" s="245" t="s">
        <v>621</v>
      </c>
      <c r="BY41" s="245" t="s">
        <v>621</v>
      </c>
      <c r="BZ41" s="245" t="s">
        <v>621</v>
      </c>
      <c r="CA41" s="245" t="s">
        <v>621</v>
      </c>
      <c r="CB41" s="245" t="s">
        <v>621</v>
      </c>
      <c r="CC41" s="245" t="s">
        <v>621</v>
      </c>
      <c r="CD41" s="245" t="s">
        <v>621</v>
      </c>
      <c r="CE41" s="245" t="s">
        <v>621</v>
      </c>
      <c r="CF41" s="245" t="s">
        <v>621</v>
      </c>
      <c r="CG41" s="245" t="s">
        <v>621</v>
      </c>
      <c r="CH41" s="245" t="s">
        <v>621</v>
      </c>
      <c r="CI41" s="245" t="s">
        <v>621</v>
      </c>
      <c r="CJ41" s="245" t="s">
        <v>621</v>
      </c>
      <c r="CK41" s="245" t="s">
        <v>621</v>
      </c>
      <c r="CL41" s="245" t="s">
        <v>621</v>
      </c>
      <c r="CM41" s="245" t="s">
        <v>621</v>
      </c>
      <c r="CN41" s="245" t="s">
        <v>621</v>
      </c>
      <c r="CO41" s="245" t="s">
        <v>621</v>
      </c>
      <c r="CP41" s="245" t="s">
        <v>621</v>
      </c>
      <c r="CQ41" s="245" t="s">
        <v>621</v>
      </c>
      <c r="CR41" s="245" t="s">
        <v>621</v>
      </c>
      <c r="CS41" s="245" t="s">
        <v>621</v>
      </c>
      <c r="CT41" s="245" t="s">
        <v>621</v>
      </c>
      <c r="CU41" s="245" t="s">
        <v>621</v>
      </c>
      <c r="CV41" s="245" t="s">
        <v>621</v>
      </c>
      <c r="CW41" s="245" t="s">
        <v>621</v>
      </c>
      <c r="CX41" s="245" t="s">
        <v>621</v>
      </c>
      <c r="CY41" s="245" t="s">
        <v>621</v>
      </c>
      <c r="CZ41" s="245" t="s">
        <v>621</v>
      </c>
      <c r="DA41" s="245" t="s">
        <v>621</v>
      </c>
      <c r="DB41" s="245" t="s">
        <v>621</v>
      </c>
      <c r="DC41" s="245" t="s">
        <v>621</v>
      </c>
      <c r="DD41" s="245" t="s">
        <v>621</v>
      </c>
      <c r="DE41" s="245" t="s">
        <v>621</v>
      </c>
      <c r="DF41" s="245" t="s">
        <v>621</v>
      </c>
      <c r="DG41" s="245" t="s">
        <v>621</v>
      </c>
      <c r="DH41" s="245" t="s">
        <v>621</v>
      </c>
      <c r="DI41" s="257">
        <f t="shared" si="1"/>
        <v>0.379</v>
      </c>
      <c r="DJ41" s="245" t="s">
        <v>621</v>
      </c>
      <c r="DK41" s="245" t="s">
        <v>621</v>
      </c>
      <c r="DL41" s="245"/>
    </row>
    <row r="42" spans="1:116" s="913" customFormat="1" ht="40.5" x14ac:dyDescent="0.25">
      <c r="A42" s="153" t="s">
        <v>1665</v>
      </c>
      <c r="B42" s="908" t="s">
        <v>1677</v>
      </c>
      <c r="C42" s="911" t="s">
        <v>1689</v>
      </c>
      <c r="D42" s="245" t="s">
        <v>621</v>
      </c>
      <c r="E42" s="245" t="s">
        <v>621</v>
      </c>
      <c r="F42" s="245" t="s">
        <v>621</v>
      </c>
      <c r="G42" s="245" t="s">
        <v>621</v>
      </c>
      <c r="H42" s="245" t="s">
        <v>621</v>
      </c>
      <c r="I42" s="245" t="s">
        <v>621</v>
      </c>
      <c r="J42" s="245" t="s">
        <v>621</v>
      </c>
      <c r="K42" s="245" t="s">
        <v>621</v>
      </c>
      <c r="L42" s="245" t="s">
        <v>621</v>
      </c>
      <c r="M42" s="245" t="s">
        <v>621</v>
      </c>
      <c r="N42" s="245" t="s">
        <v>621</v>
      </c>
      <c r="O42" s="257">
        <f>'4'!AS43</f>
        <v>0.157</v>
      </c>
      <c r="P42" s="245" t="s">
        <v>621</v>
      </c>
      <c r="Q42" s="245" t="s">
        <v>621</v>
      </c>
      <c r="R42" s="245" t="s">
        <v>621</v>
      </c>
      <c r="S42" s="245" t="s">
        <v>621</v>
      </c>
      <c r="T42" s="245" t="s">
        <v>621</v>
      </c>
      <c r="U42" s="245" t="s">
        <v>621</v>
      </c>
      <c r="V42" s="245" t="s">
        <v>621</v>
      </c>
      <c r="W42" s="245" t="s">
        <v>621</v>
      </c>
      <c r="X42" s="245" t="s">
        <v>621</v>
      </c>
      <c r="Y42" s="245" t="s">
        <v>621</v>
      </c>
      <c r="Z42" s="245" t="s">
        <v>621</v>
      </c>
      <c r="AA42" s="245" t="s">
        <v>621</v>
      </c>
      <c r="AB42" s="245" t="s">
        <v>621</v>
      </c>
      <c r="AC42" s="245" t="s">
        <v>621</v>
      </c>
      <c r="AD42" s="245" t="s">
        <v>621</v>
      </c>
      <c r="AE42" s="245" t="s">
        <v>621</v>
      </c>
      <c r="AF42" s="245" t="s">
        <v>621</v>
      </c>
      <c r="AG42" s="245" t="s">
        <v>621</v>
      </c>
      <c r="AH42" s="245" t="s">
        <v>621</v>
      </c>
      <c r="AI42" s="245" t="s">
        <v>621</v>
      </c>
      <c r="AJ42" s="245" t="s">
        <v>621</v>
      </c>
      <c r="AK42" s="245" t="s">
        <v>621</v>
      </c>
      <c r="AL42" s="245" t="s">
        <v>621</v>
      </c>
      <c r="AM42" s="245" t="s">
        <v>621</v>
      </c>
      <c r="AN42" s="245" t="s">
        <v>621</v>
      </c>
      <c r="AO42" s="245" t="s">
        <v>621</v>
      </c>
      <c r="AP42" s="245" t="s">
        <v>621</v>
      </c>
      <c r="AQ42" s="245">
        <v>0</v>
      </c>
      <c r="AR42" s="245" t="s">
        <v>621</v>
      </c>
      <c r="AS42" s="245" t="s">
        <v>621</v>
      </c>
      <c r="AT42" s="245" t="s">
        <v>621</v>
      </c>
      <c r="AU42" s="245" t="s">
        <v>621</v>
      </c>
      <c r="AV42" s="245" t="s">
        <v>621</v>
      </c>
      <c r="AW42" s="245" t="s">
        <v>621</v>
      </c>
      <c r="AX42" s="245">
        <v>0</v>
      </c>
      <c r="AY42" s="245" t="s">
        <v>621</v>
      </c>
      <c r="AZ42" s="245" t="s">
        <v>621</v>
      </c>
      <c r="BA42" s="245" t="s">
        <v>621</v>
      </c>
      <c r="BB42" s="245" t="s">
        <v>621</v>
      </c>
      <c r="BC42" s="245" t="s">
        <v>621</v>
      </c>
      <c r="BD42" s="245" t="s">
        <v>621</v>
      </c>
      <c r="BE42" s="245">
        <f>'4'!AS43</f>
        <v>0.15740000000000001</v>
      </c>
      <c r="BF42" s="245" t="s">
        <v>621</v>
      </c>
      <c r="BG42" s="245" t="s">
        <v>621</v>
      </c>
      <c r="BH42" s="245" t="s">
        <v>621</v>
      </c>
      <c r="BI42" s="245" t="s">
        <v>621</v>
      </c>
      <c r="BJ42" s="245" t="s">
        <v>621</v>
      </c>
      <c r="BK42" s="245" t="s">
        <v>621</v>
      </c>
      <c r="BL42" s="245" t="s">
        <v>621</v>
      </c>
      <c r="BM42" s="245" t="s">
        <v>621</v>
      </c>
      <c r="BN42" s="245" t="s">
        <v>621</v>
      </c>
      <c r="BO42" s="245" t="s">
        <v>621</v>
      </c>
      <c r="BP42" s="245" t="s">
        <v>621</v>
      </c>
      <c r="BQ42" s="245" t="s">
        <v>621</v>
      </c>
      <c r="BR42" s="245" t="s">
        <v>621</v>
      </c>
      <c r="BS42" s="245">
        <f>'4'!BG43</f>
        <v>0</v>
      </c>
      <c r="BT42" s="245" t="s">
        <v>621</v>
      </c>
      <c r="BU42" s="245" t="s">
        <v>621</v>
      </c>
      <c r="BV42" s="245" t="s">
        <v>621</v>
      </c>
      <c r="BW42" s="245" t="s">
        <v>621</v>
      </c>
      <c r="BX42" s="245" t="s">
        <v>621</v>
      </c>
      <c r="BY42" s="245" t="s">
        <v>621</v>
      </c>
      <c r="BZ42" s="245" t="s">
        <v>621</v>
      </c>
      <c r="CA42" s="245" t="s">
        <v>621</v>
      </c>
      <c r="CB42" s="245" t="s">
        <v>621</v>
      </c>
      <c r="CC42" s="245" t="s">
        <v>621</v>
      </c>
      <c r="CD42" s="245" t="s">
        <v>621</v>
      </c>
      <c r="CE42" s="245" t="s">
        <v>621</v>
      </c>
      <c r="CF42" s="245" t="s">
        <v>621</v>
      </c>
      <c r="CG42" s="245" t="s">
        <v>621</v>
      </c>
      <c r="CH42" s="245" t="s">
        <v>621</v>
      </c>
      <c r="CI42" s="245" t="s">
        <v>621</v>
      </c>
      <c r="CJ42" s="245" t="s">
        <v>621</v>
      </c>
      <c r="CK42" s="245" t="s">
        <v>621</v>
      </c>
      <c r="CL42" s="245" t="s">
        <v>621</v>
      </c>
      <c r="CM42" s="245" t="s">
        <v>621</v>
      </c>
      <c r="CN42" s="245" t="s">
        <v>621</v>
      </c>
      <c r="CO42" s="245" t="s">
        <v>621</v>
      </c>
      <c r="CP42" s="245" t="s">
        <v>621</v>
      </c>
      <c r="CQ42" s="245" t="s">
        <v>621</v>
      </c>
      <c r="CR42" s="245" t="s">
        <v>621</v>
      </c>
      <c r="CS42" s="245" t="s">
        <v>621</v>
      </c>
      <c r="CT42" s="245" t="s">
        <v>621</v>
      </c>
      <c r="CU42" s="245" t="s">
        <v>621</v>
      </c>
      <c r="CV42" s="245" t="s">
        <v>621</v>
      </c>
      <c r="CW42" s="245" t="s">
        <v>621</v>
      </c>
      <c r="CX42" s="245" t="s">
        <v>621</v>
      </c>
      <c r="CY42" s="245" t="s">
        <v>621</v>
      </c>
      <c r="CZ42" s="245" t="s">
        <v>621</v>
      </c>
      <c r="DA42" s="245" t="s">
        <v>621</v>
      </c>
      <c r="DB42" s="245" t="s">
        <v>621</v>
      </c>
      <c r="DC42" s="245" t="s">
        <v>621</v>
      </c>
      <c r="DD42" s="245" t="s">
        <v>621</v>
      </c>
      <c r="DE42" s="245" t="s">
        <v>621</v>
      </c>
      <c r="DF42" s="245" t="s">
        <v>621</v>
      </c>
      <c r="DG42" s="245" t="s">
        <v>621</v>
      </c>
      <c r="DH42" s="245" t="s">
        <v>621</v>
      </c>
      <c r="DI42" s="257">
        <f t="shared" si="1"/>
        <v>0.157</v>
      </c>
      <c r="DJ42" s="245" t="s">
        <v>621</v>
      </c>
      <c r="DK42" s="245" t="s">
        <v>621</v>
      </c>
      <c r="DL42" s="245"/>
    </row>
    <row r="43" spans="1:116" s="913" customFormat="1" ht="40.5" x14ac:dyDescent="0.25">
      <c r="A43" s="153" t="s">
        <v>1666</v>
      </c>
      <c r="B43" s="1104" t="s">
        <v>1678</v>
      </c>
      <c r="C43" s="911" t="s">
        <v>1690</v>
      </c>
      <c r="D43" s="245" t="s">
        <v>621</v>
      </c>
      <c r="E43" s="245" t="s">
        <v>621</v>
      </c>
      <c r="F43" s="245" t="s">
        <v>621</v>
      </c>
      <c r="G43" s="245" t="s">
        <v>621</v>
      </c>
      <c r="H43" s="245" t="s">
        <v>621</v>
      </c>
      <c r="I43" s="245" t="s">
        <v>621</v>
      </c>
      <c r="J43" s="245" t="s">
        <v>621</v>
      </c>
      <c r="K43" s="245" t="s">
        <v>621</v>
      </c>
      <c r="L43" s="245" t="s">
        <v>621</v>
      </c>
      <c r="M43" s="245" t="s">
        <v>621</v>
      </c>
      <c r="N43" s="245" t="s">
        <v>621</v>
      </c>
      <c r="O43" s="257">
        <f>'4'!AS44</f>
        <v>0.37</v>
      </c>
      <c r="P43" s="245" t="s">
        <v>621</v>
      </c>
      <c r="Q43" s="245" t="s">
        <v>621</v>
      </c>
      <c r="R43" s="245" t="s">
        <v>621</v>
      </c>
      <c r="S43" s="245" t="s">
        <v>621</v>
      </c>
      <c r="T43" s="245" t="s">
        <v>621</v>
      </c>
      <c r="U43" s="245" t="s">
        <v>621</v>
      </c>
      <c r="V43" s="245" t="s">
        <v>621</v>
      </c>
      <c r="W43" s="245" t="s">
        <v>621</v>
      </c>
      <c r="X43" s="245" t="s">
        <v>621</v>
      </c>
      <c r="Y43" s="245" t="s">
        <v>621</v>
      </c>
      <c r="Z43" s="245" t="s">
        <v>621</v>
      </c>
      <c r="AA43" s="245" t="s">
        <v>621</v>
      </c>
      <c r="AB43" s="245" t="s">
        <v>621</v>
      </c>
      <c r="AC43" s="245" t="s">
        <v>621</v>
      </c>
      <c r="AD43" s="245" t="s">
        <v>621</v>
      </c>
      <c r="AE43" s="245" t="s">
        <v>621</v>
      </c>
      <c r="AF43" s="245" t="s">
        <v>621</v>
      </c>
      <c r="AG43" s="245" t="s">
        <v>621</v>
      </c>
      <c r="AH43" s="245" t="s">
        <v>621</v>
      </c>
      <c r="AI43" s="245" t="s">
        <v>621</v>
      </c>
      <c r="AJ43" s="245" t="s">
        <v>621</v>
      </c>
      <c r="AK43" s="245" t="s">
        <v>621</v>
      </c>
      <c r="AL43" s="245" t="s">
        <v>621</v>
      </c>
      <c r="AM43" s="245" t="s">
        <v>621</v>
      </c>
      <c r="AN43" s="245" t="s">
        <v>621</v>
      </c>
      <c r="AO43" s="245" t="s">
        <v>621</v>
      </c>
      <c r="AP43" s="245" t="s">
        <v>621</v>
      </c>
      <c r="AQ43" s="245">
        <v>0</v>
      </c>
      <c r="AR43" s="245" t="s">
        <v>621</v>
      </c>
      <c r="AS43" s="245" t="s">
        <v>621</v>
      </c>
      <c r="AT43" s="245" t="s">
        <v>621</v>
      </c>
      <c r="AU43" s="245" t="s">
        <v>621</v>
      </c>
      <c r="AV43" s="245" t="s">
        <v>621</v>
      </c>
      <c r="AW43" s="245" t="s">
        <v>621</v>
      </c>
      <c r="AX43" s="245">
        <v>0</v>
      </c>
      <c r="AY43" s="245" t="s">
        <v>621</v>
      </c>
      <c r="AZ43" s="245" t="s">
        <v>621</v>
      </c>
      <c r="BA43" s="245" t="s">
        <v>621</v>
      </c>
      <c r="BB43" s="245" t="s">
        <v>621</v>
      </c>
      <c r="BC43" s="245" t="s">
        <v>621</v>
      </c>
      <c r="BD43" s="245" t="s">
        <v>621</v>
      </c>
      <c r="BE43" s="245">
        <f>'4'!AS44</f>
        <v>0.37</v>
      </c>
      <c r="BF43" s="245" t="s">
        <v>621</v>
      </c>
      <c r="BG43" s="245" t="s">
        <v>621</v>
      </c>
      <c r="BH43" s="245" t="s">
        <v>621</v>
      </c>
      <c r="BI43" s="245" t="s">
        <v>621</v>
      </c>
      <c r="BJ43" s="245" t="s">
        <v>621</v>
      </c>
      <c r="BK43" s="245" t="s">
        <v>621</v>
      </c>
      <c r="BL43" s="245" t="s">
        <v>621</v>
      </c>
      <c r="BM43" s="245" t="s">
        <v>621</v>
      </c>
      <c r="BN43" s="245" t="s">
        <v>621</v>
      </c>
      <c r="BO43" s="245" t="s">
        <v>621</v>
      </c>
      <c r="BP43" s="245" t="s">
        <v>621</v>
      </c>
      <c r="BQ43" s="245" t="s">
        <v>621</v>
      </c>
      <c r="BR43" s="245" t="s">
        <v>621</v>
      </c>
      <c r="BS43" s="245">
        <f>'4'!BG44</f>
        <v>0</v>
      </c>
      <c r="BT43" s="245" t="s">
        <v>621</v>
      </c>
      <c r="BU43" s="245" t="s">
        <v>621</v>
      </c>
      <c r="BV43" s="245" t="s">
        <v>621</v>
      </c>
      <c r="BW43" s="245" t="s">
        <v>621</v>
      </c>
      <c r="BX43" s="245" t="s">
        <v>621</v>
      </c>
      <c r="BY43" s="245" t="s">
        <v>621</v>
      </c>
      <c r="BZ43" s="245" t="s">
        <v>621</v>
      </c>
      <c r="CA43" s="245" t="s">
        <v>621</v>
      </c>
      <c r="CB43" s="245" t="s">
        <v>621</v>
      </c>
      <c r="CC43" s="245" t="s">
        <v>621</v>
      </c>
      <c r="CD43" s="245" t="s">
        <v>621</v>
      </c>
      <c r="CE43" s="245" t="s">
        <v>621</v>
      </c>
      <c r="CF43" s="245" t="s">
        <v>621</v>
      </c>
      <c r="CG43" s="245" t="s">
        <v>621</v>
      </c>
      <c r="CH43" s="245" t="s">
        <v>621</v>
      </c>
      <c r="CI43" s="245" t="s">
        <v>621</v>
      </c>
      <c r="CJ43" s="245" t="s">
        <v>621</v>
      </c>
      <c r="CK43" s="245" t="s">
        <v>621</v>
      </c>
      <c r="CL43" s="245" t="s">
        <v>621</v>
      </c>
      <c r="CM43" s="245" t="s">
        <v>621</v>
      </c>
      <c r="CN43" s="245" t="s">
        <v>621</v>
      </c>
      <c r="CO43" s="245" t="s">
        <v>621</v>
      </c>
      <c r="CP43" s="245" t="s">
        <v>621</v>
      </c>
      <c r="CQ43" s="245" t="s">
        <v>621</v>
      </c>
      <c r="CR43" s="245" t="s">
        <v>621</v>
      </c>
      <c r="CS43" s="245" t="s">
        <v>621</v>
      </c>
      <c r="CT43" s="245" t="s">
        <v>621</v>
      </c>
      <c r="CU43" s="245" t="s">
        <v>621</v>
      </c>
      <c r="CV43" s="245" t="s">
        <v>621</v>
      </c>
      <c r="CW43" s="245" t="s">
        <v>621</v>
      </c>
      <c r="CX43" s="245" t="s">
        <v>621</v>
      </c>
      <c r="CY43" s="245" t="s">
        <v>621</v>
      </c>
      <c r="CZ43" s="245" t="s">
        <v>621</v>
      </c>
      <c r="DA43" s="245" t="s">
        <v>621</v>
      </c>
      <c r="DB43" s="245" t="s">
        <v>621</v>
      </c>
      <c r="DC43" s="245" t="s">
        <v>621</v>
      </c>
      <c r="DD43" s="245" t="s">
        <v>621</v>
      </c>
      <c r="DE43" s="245" t="s">
        <v>621</v>
      </c>
      <c r="DF43" s="245" t="s">
        <v>621</v>
      </c>
      <c r="DG43" s="245" t="s">
        <v>621</v>
      </c>
      <c r="DH43" s="245" t="s">
        <v>621</v>
      </c>
      <c r="DI43" s="257">
        <f t="shared" si="1"/>
        <v>0.37</v>
      </c>
      <c r="DJ43" s="245" t="s">
        <v>621</v>
      </c>
      <c r="DK43" s="245" t="s">
        <v>621</v>
      </c>
      <c r="DL43" s="245"/>
    </row>
    <row r="44" spans="1:116" s="913" customFormat="1" ht="40.5" x14ac:dyDescent="0.25">
      <c r="A44" s="153" t="s">
        <v>1667</v>
      </c>
      <c r="B44" s="1104" t="s">
        <v>1679</v>
      </c>
      <c r="C44" s="911" t="s">
        <v>1691</v>
      </c>
      <c r="D44" s="245" t="s">
        <v>621</v>
      </c>
      <c r="E44" s="245" t="s">
        <v>621</v>
      </c>
      <c r="F44" s="245" t="s">
        <v>621</v>
      </c>
      <c r="G44" s="245" t="s">
        <v>621</v>
      </c>
      <c r="H44" s="245" t="s">
        <v>621</v>
      </c>
      <c r="I44" s="245" t="s">
        <v>621</v>
      </c>
      <c r="J44" s="245" t="s">
        <v>621</v>
      </c>
      <c r="K44" s="245" t="s">
        <v>621</v>
      </c>
      <c r="L44" s="245" t="s">
        <v>621</v>
      </c>
      <c r="M44" s="245" t="s">
        <v>621</v>
      </c>
      <c r="N44" s="245" t="s">
        <v>621</v>
      </c>
      <c r="O44" s="257">
        <f>'4'!AS45</f>
        <v>0.45400000000000001</v>
      </c>
      <c r="P44" s="245" t="s">
        <v>621</v>
      </c>
      <c r="Q44" s="245" t="s">
        <v>621</v>
      </c>
      <c r="R44" s="245" t="s">
        <v>621</v>
      </c>
      <c r="S44" s="245" t="s">
        <v>621</v>
      </c>
      <c r="T44" s="245" t="s">
        <v>621</v>
      </c>
      <c r="U44" s="245" t="s">
        <v>621</v>
      </c>
      <c r="V44" s="245" t="s">
        <v>621</v>
      </c>
      <c r="W44" s="245" t="s">
        <v>621</v>
      </c>
      <c r="X44" s="245" t="s">
        <v>621</v>
      </c>
      <c r="Y44" s="245" t="s">
        <v>621</v>
      </c>
      <c r="Z44" s="245" t="s">
        <v>621</v>
      </c>
      <c r="AA44" s="245" t="s">
        <v>621</v>
      </c>
      <c r="AB44" s="245" t="s">
        <v>621</v>
      </c>
      <c r="AC44" s="245" t="s">
        <v>621</v>
      </c>
      <c r="AD44" s="245" t="s">
        <v>621</v>
      </c>
      <c r="AE44" s="245" t="s">
        <v>621</v>
      </c>
      <c r="AF44" s="245" t="s">
        <v>621</v>
      </c>
      <c r="AG44" s="245" t="s">
        <v>621</v>
      </c>
      <c r="AH44" s="245" t="s">
        <v>621</v>
      </c>
      <c r="AI44" s="245" t="s">
        <v>621</v>
      </c>
      <c r="AJ44" s="245" t="s">
        <v>621</v>
      </c>
      <c r="AK44" s="245" t="s">
        <v>621</v>
      </c>
      <c r="AL44" s="245" t="s">
        <v>621</v>
      </c>
      <c r="AM44" s="245" t="s">
        <v>621</v>
      </c>
      <c r="AN44" s="245" t="s">
        <v>621</v>
      </c>
      <c r="AO44" s="245" t="s">
        <v>621</v>
      </c>
      <c r="AP44" s="245" t="s">
        <v>621</v>
      </c>
      <c r="AQ44" s="245">
        <v>0</v>
      </c>
      <c r="AR44" s="245" t="s">
        <v>621</v>
      </c>
      <c r="AS44" s="245" t="s">
        <v>621</v>
      </c>
      <c r="AT44" s="245" t="s">
        <v>621</v>
      </c>
      <c r="AU44" s="245" t="s">
        <v>621</v>
      </c>
      <c r="AV44" s="245" t="s">
        <v>621</v>
      </c>
      <c r="AW44" s="245" t="s">
        <v>621</v>
      </c>
      <c r="AX44" s="245">
        <v>0</v>
      </c>
      <c r="AY44" s="245" t="s">
        <v>621</v>
      </c>
      <c r="AZ44" s="245" t="s">
        <v>621</v>
      </c>
      <c r="BA44" s="245" t="s">
        <v>621</v>
      </c>
      <c r="BB44" s="245" t="s">
        <v>621</v>
      </c>
      <c r="BC44" s="245" t="s">
        <v>621</v>
      </c>
      <c r="BD44" s="245" t="s">
        <v>621</v>
      </c>
      <c r="BE44" s="245">
        <f>'4'!AS45</f>
        <v>0.45400000000000001</v>
      </c>
      <c r="BF44" s="245" t="s">
        <v>621</v>
      </c>
      <c r="BG44" s="245" t="s">
        <v>621</v>
      </c>
      <c r="BH44" s="245" t="s">
        <v>621</v>
      </c>
      <c r="BI44" s="245" t="s">
        <v>621</v>
      </c>
      <c r="BJ44" s="245" t="s">
        <v>621</v>
      </c>
      <c r="BK44" s="245" t="s">
        <v>621</v>
      </c>
      <c r="BL44" s="245" t="s">
        <v>621</v>
      </c>
      <c r="BM44" s="245" t="s">
        <v>621</v>
      </c>
      <c r="BN44" s="245" t="s">
        <v>621</v>
      </c>
      <c r="BO44" s="245" t="s">
        <v>621</v>
      </c>
      <c r="BP44" s="245" t="s">
        <v>621</v>
      </c>
      <c r="BQ44" s="245" t="s">
        <v>621</v>
      </c>
      <c r="BR44" s="245" t="s">
        <v>621</v>
      </c>
      <c r="BS44" s="245">
        <f>'4'!BG45</f>
        <v>0</v>
      </c>
      <c r="BT44" s="245" t="s">
        <v>621</v>
      </c>
      <c r="BU44" s="245" t="s">
        <v>621</v>
      </c>
      <c r="BV44" s="245" t="s">
        <v>621</v>
      </c>
      <c r="BW44" s="245" t="s">
        <v>621</v>
      </c>
      <c r="BX44" s="245" t="s">
        <v>621</v>
      </c>
      <c r="BY44" s="245" t="s">
        <v>621</v>
      </c>
      <c r="BZ44" s="245" t="s">
        <v>621</v>
      </c>
      <c r="CA44" s="245" t="s">
        <v>621</v>
      </c>
      <c r="CB44" s="245" t="s">
        <v>621</v>
      </c>
      <c r="CC44" s="245" t="s">
        <v>621</v>
      </c>
      <c r="CD44" s="245" t="s">
        <v>621</v>
      </c>
      <c r="CE44" s="245" t="s">
        <v>621</v>
      </c>
      <c r="CF44" s="245" t="s">
        <v>621</v>
      </c>
      <c r="CG44" s="245" t="s">
        <v>621</v>
      </c>
      <c r="CH44" s="245" t="s">
        <v>621</v>
      </c>
      <c r="CI44" s="245" t="s">
        <v>621</v>
      </c>
      <c r="CJ44" s="245" t="s">
        <v>621</v>
      </c>
      <c r="CK44" s="245" t="s">
        <v>621</v>
      </c>
      <c r="CL44" s="245" t="s">
        <v>621</v>
      </c>
      <c r="CM44" s="245" t="s">
        <v>621</v>
      </c>
      <c r="CN44" s="245" t="s">
        <v>621</v>
      </c>
      <c r="CO44" s="245" t="s">
        <v>621</v>
      </c>
      <c r="CP44" s="245" t="s">
        <v>621</v>
      </c>
      <c r="CQ44" s="245" t="s">
        <v>621</v>
      </c>
      <c r="CR44" s="245" t="s">
        <v>621</v>
      </c>
      <c r="CS44" s="245" t="s">
        <v>621</v>
      </c>
      <c r="CT44" s="245" t="s">
        <v>621</v>
      </c>
      <c r="CU44" s="245" t="s">
        <v>621</v>
      </c>
      <c r="CV44" s="245" t="s">
        <v>621</v>
      </c>
      <c r="CW44" s="245" t="s">
        <v>621</v>
      </c>
      <c r="CX44" s="245" t="s">
        <v>621</v>
      </c>
      <c r="CY44" s="245" t="s">
        <v>621</v>
      </c>
      <c r="CZ44" s="245" t="s">
        <v>621</v>
      </c>
      <c r="DA44" s="245" t="s">
        <v>621</v>
      </c>
      <c r="DB44" s="245" t="s">
        <v>621</v>
      </c>
      <c r="DC44" s="245" t="s">
        <v>621</v>
      </c>
      <c r="DD44" s="245" t="s">
        <v>621</v>
      </c>
      <c r="DE44" s="245" t="s">
        <v>621</v>
      </c>
      <c r="DF44" s="245" t="s">
        <v>621</v>
      </c>
      <c r="DG44" s="245" t="s">
        <v>621</v>
      </c>
      <c r="DH44" s="245" t="s">
        <v>621</v>
      </c>
      <c r="DI44" s="257">
        <f t="shared" si="1"/>
        <v>0.45400000000000001</v>
      </c>
      <c r="DJ44" s="245" t="s">
        <v>621</v>
      </c>
      <c r="DK44" s="245" t="s">
        <v>621</v>
      </c>
      <c r="DL44" s="245"/>
    </row>
    <row r="45" spans="1:116" s="913" customFormat="1" ht="40.5" x14ac:dyDescent="0.25">
      <c r="A45" s="153" t="s">
        <v>1668</v>
      </c>
      <c r="B45" s="1104" t="s">
        <v>1680</v>
      </c>
      <c r="C45" s="911" t="s">
        <v>1692</v>
      </c>
      <c r="D45" s="245" t="s">
        <v>621</v>
      </c>
      <c r="E45" s="245" t="s">
        <v>621</v>
      </c>
      <c r="F45" s="245" t="s">
        <v>621</v>
      </c>
      <c r="G45" s="245" t="s">
        <v>621</v>
      </c>
      <c r="H45" s="245" t="s">
        <v>621</v>
      </c>
      <c r="I45" s="245" t="s">
        <v>621</v>
      </c>
      <c r="J45" s="245" t="s">
        <v>621</v>
      </c>
      <c r="K45" s="245" t="s">
        <v>621</v>
      </c>
      <c r="L45" s="245" t="s">
        <v>621</v>
      </c>
      <c r="M45" s="245" t="s">
        <v>621</v>
      </c>
      <c r="N45" s="245" t="s">
        <v>621</v>
      </c>
      <c r="O45" s="257">
        <f>'4'!AS46</f>
        <v>0.36899999999999999</v>
      </c>
      <c r="P45" s="245" t="s">
        <v>621</v>
      </c>
      <c r="Q45" s="245" t="s">
        <v>621</v>
      </c>
      <c r="R45" s="245" t="s">
        <v>621</v>
      </c>
      <c r="S45" s="245" t="s">
        <v>621</v>
      </c>
      <c r="T45" s="245" t="s">
        <v>621</v>
      </c>
      <c r="U45" s="245" t="s">
        <v>621</v>
      </c>
      <c r="V45" s="245" t="s">
        <v>621</v>
      </c>
      <c r="W45" s="245" t="s">
        <v>621</v>
      </c>
      <c r="X45" s="245" t="s">
        <v>621</v>
      </c>
      <c r="Y45" s="245" t="s">
        <v>621</v>
      </c>
      <c r="Z45" s="245" t="s">
        <v>621</v>
      </c>
      <c r="AA45" s="245" t="s">
        <v>621</v>
      </c>
      <c r="AB45" s="245" t="s">
        <v>621</v>
      </c>
      <c r="AC45" s="245" t="s">
        <v>621</v>
      </c>
      <c r="AD45" s="245" t="s">
        <v>621</v>
      </c>
      <c r="AE45" s="245" t="s">
        <v>621</v>
      </c>
      <c r="AF45" s="245" t="s">
        <v>621</v>
      </c>
      <c r="AG45" s="245" t="s">
        <v>621</v>
      </c>
      <c r="AH45" s="245" t="s">
        <v>621</v>
      </c>
      <c r="AI45" s="245" t="s">
        <v>621</v>
      </c>
      <c r="AJ45" s="245" t="s">
        <v>621</v>
      </c>
      <c r="AK45" s="245" t="s">
        <v>621</v>
      </c>
      <c r="AL45" s="245" t="s">
        <v>621</v>
      </c>
      <c r="AM45" s="245" t="s">
        <v>621</v>
      </c>
      <c r="AN45" s="245" t="s">
        <v>621</v>
      </c>
      <c r="AO45" s="245" t="s">
        <v>621</v>
      </c>
      <c r="AP45" s="245" t="s">
        <v>621</v>
      </c>
      <c r="AQ45" s="245">
        <v>0</v>
      </c>
      <c r="AR45" s="245" t="s">
        <v>621</v>
      </c>
      <c r="AS45" s="245" t="s">
        <v>621</v>
      </c>
      <c r="AT45" s="245" t="s">
        <v>621</v>
      </c>
      <c r="AU45" s="245" t="s">
        <v>621</v>
      </c>
      <c r="AV45" s="245" t="s">
        <v>621</v>
      </c>
      <c r="AW45" s="245" t="s">
        <v>621</v>
      </c>
      <c r="AX45" s="245">
        <v>0</v>
      </c>
      <c r="AY45" s="245" t="s">
        <v>621</v>
      </c>
      <c r="AZ45" s="245" t="s">
        <v>621</v>
      </c>
      <c r="BA45" s="245" t="s">
        <v>621</v>
      </c>
      <c r="BB45" s="245" t="s">
        <v>621</v>
      </c>
      <c r="BC45" s="245" t="s">
        <v>621</v>
      </c>
      <c r="BD45" s="245" t="s">
        <v>621</v>
      </c>
      <c r="BE45" s="245">
        <f>'4'!AS46</f>
        <v>0.36899999999999999</v>
      </c>
      <c r="BF45" s="245" t="s">
        <v>621</v>
      </c>
      <c r="BG45" s="245" t="s">
        <v>621</v>
      </c>
      <c r="BH45" s="245" t="s">
        <v>621</v>
      </c>
      <c r="BI45" s="245" t="s">
        <v>621</v>
      </c>
      <c r="BJ45" s="245" t="s">
        <v>621</v>
      </c>
      <c r="BK45" s="245" t="s">
        <v>621</v>
      </c>
      <c r="BL45" s="245" t="s">
        <v>621</v>
      </c>
      <c r="BM45" s="245" t="s">
        <v>621</v>
      </c>
      <c r="BN45" s="245" t="s">
        <v>621</v>
      </c>
      <c r="BO45" s="245" t="s">
        <v>621</v>
      </c>
      <c r="BP45" s="245" t="s">
        <v>621</v>
      </c>
      <c r="BQ45" s="245" t="s">
        <v>621</v>
      </c>
      <c r="BR45" s="245" t="s">
        <v>621</v>
      </c>
      <c r="BS45" s="245">
        <f>'4'!BG46</f>
        <v>0</v>
      </c>
      <c r="BT45" s="245" t="s">
        <v>621</v>
      </c>
      <c r="BU45" s="245" t="s">
        <v>621</v>
      </c>
      <c r="BV45" s="245" t="s">
        <v>621</v>
      </c>
      <c r="BW45" s="245" t="s">
        <v>621</v>
      </c>
      <c r="BX45" s="245" t="s">
        <v>621</v>
      </c>
      <c r="BY45" s="245" t="s">
        <v>621</v>
      </c>
      <c r="BZ45" s="245" t="s">
        <v>621</v>
      </c>
      <c r="CA45" s="245" t="s">
        <v>621</v>
      </c>
      <c r="CB45" s="245" t="s">
        <v>621</v>
      </c>
      <c r="CC45" s="245" t="s">
        <v>621</v>
      </c>
      <c r="CD45" s="245" t="s">
        <v>621</v>
      </c>
      <c r="CE45" s="245" t="s">
        <v>621</v>
      </c>
      <c r="CF45" s="245" t="s">
        <v>621</v>
      </c>
      <c r="CG45" s="245" t="s">
        <v>621</v>
      </c>
      <c r="CH45" s="245" t="s">
        <v>621</v>
      </c>
      <c r="CI45" s="245" t="s">
        <v>621</v>
      </c>
      <c r="CJ45" s="245" t="s">
        <v>621</v>
      </c>
      <c r="CK45" s="245" t="s">
        <v>621</v>
      </c>
      <c r="CL45" s="245" t="s">
        <v>621</v>
      </c>
      <c r="CM45" s="245" t="s">
        <v>621</v>
      </c>
      <c r="CN45" s="245" t="s">
        <v>621</v>
      </c>
      <c r="CO45" s="245" t="s">
        <v>621</v>
      </c>
      <c r="CP45" s="245" t="s">
        <v>621</v>
      </c>
      <c r="CQ45" s="245" t="s">
        <v>621</v>
      </c>
      <c r="CR45" s="245" t="s">
        <v>621</v>
      </c>
      <c r="CS45" s="245" t="s">
        <v>621</v>
      </c>
      <c r="CT45" s="245" t="s">
        <v>621</v>
      </c>
      <c r="CU45" s="245" t="s">
        <v>621</v>
      </c>
      <c r="CV45" s="245" t="s">
        <v>621</v>
      </c>
      <c r="CW45" s="245" t="s">
        <v>621</v>
      </c>
      <c r="CX45" s="245" t="s">
        <v>621</v>
      </c>
      <c r="CY45" s="245" t="s">
        <v>621</v>
      </c>
      <c r="CZ45" s="245" t="s">
        <v>621</v>
      </c>
      <c r="DA45" s="245" t="s">
        <v>621</v>
      </c>
      <c r="DB45" s="245" t="s">
        <v>621</v>
      </c>
      <c r="DC45" s="245" t="s">
        <v>621</v>
      </c>
      <c r="DD45" s="245" t="s">
        <v>621</v>
      </c>
      <c r="DE45" s="245" t="s">
        <v>621</v>
      </c>
      <c r="DF45" s="245" t="s">
        <v>621</v>
      </c>
      <c r="DG45" s="245" t="s">
        <v>621</v>
      </c>
      <c r="DH45" s="245" t="s">
        <v>621</v>
      </c>
      <c r="DI45" s="257">
        <f t="shared" si="1"/>
        <v>0.36899999999999999</v>
      </c>
      <c r="DJ45" s="245" t="s">
        <v>621</v>
      </c>
      <c r="DK45" s="245" t="s">
        <v>621</v>
      </c>
      <c r="DL45" s="245"/>
    </row>
    <row r="46" spans="1:116" s="913" customFormat="1" ht="40.5" x14ac:dyDescent="0.25">
      <c r="A46" s="153" t="s">
        <v>1669</v>
      </c>
      <c r="B46" s="1104" t="s">
        <v>1681</v>
      </c>
      <c r="C46" s="911" t="s">
        <v>1693</v>
      </c>
      <c r="D46" s="245" t="s">
        <v>621</v>
      </c>
      <c r="E46" s="245" t="s">
        <v>621</v>
      </c>
      <c r="F46" s="245" t="s">
        <v>621</v>
      </c>
      <c r="G46" s="245" t="s">
        <v>621</v>
      </c>
      <c r="H46" s="245" t="s">
        <v>621</v>
      </c>
      <c r="I46" s="245" t="s">
        <v>621</v>
      </c>
      <c r="J46" s="245" t="s">
        <v>621</v>
      </c>
      <c r="K46" s="245" t="s">
        <v>621</v>
      </c>
      <c r="L46" s="245" t="s">
        <v>621</v>
      </c>
      <c r="M46" s="245" t="s">
        <v>621</v>
      </c>
      <c r="N46" s="245" t="s">
        <v>621</v>
      </c>
      <c r="O46" s="257">
        <f>'4'!AS47</f>
        <v>1.032</v>
      </c>
      <c r="P46" s="245" t="s">
        <v>621</v>
      </c>
      <c r="Q46" s="245" t="s">
        <v>621</v>
      </c>
      <c r="R46" s="245" t="s">
        <v>621</v>
      </c>
      <c r="S46" s="245" t="s">
        <v>621</v>
      </c>
      <c r="T46" s="245" t="s">
        <v>621</v>
      </c>
      <c r="U46" s="245" t="s">
        <v>621</v>
      </c>
      <c r="V46" s="245" t="s">
        <v>621</v>
      </c>
      <c r="W46" s="245" t="s">
        <v>621</v>
      </c>
      <c r="X46" s="245" t="s">
        <v>621</v>
      </c>
      <c r="Y46" s="245" t="s">
        <v>621</v>
      </c>
      <c r="Z46" s="245" t="s">
        <v>621</v>
      </c>
      <c r="AA46" s="245" t="s">
        <v>621</v>
      </c>
      <c r="AB46" s="245" t="s">
        <v>621</v>
      </c>
      <c r="AC46" s="245" t="s">
        <v>621</v>
      </c>
      <c r="AD46" s="245" t="s">
        <v>621</v>
      </c>
      <c r="AE46" s="245" t="s">
        <v>621</v>
      </c>
      <c r="AF46" s="245" t="s">
        <v>621</v>
      </c>
      <c r="AG46" s="245" t="s">
        <v>621</v>
      </c>
      <c r="AH46" s="245" t="s">
        <v>621</v>
      </c>
      <c r="AI46" s="245" t="s">
        <v>621</v>
      </c>
      <c r="AJ46" s="245" t="s">
        <v>621</v>
      </c>
      <c r="AK46" s="245" t="s">
        <v>621</v>
      </c>
      <c r="AL46" s="245" t="s">
        <v>621</v>
      </c>
      <c r="AM46" s="245" t="s">
        <v>621</v>
      </c>
      <c r="AN46" s="245" t="s">
        <v>621</v>
      </c>
      <c r="AO46" s="245" t="s">
        <v>621</v>
      </c>
      <c r="AP46" s="245" t="s">
        <v>621</v>
      </c>
      <c r="AQ46" s="245">
        <v>0</v>
      </c>
      <c r="AR46" s="245" t="s">
        <v>621</v>
      </c>
      <c r="AS46" s="245" t="s">
        <v>621</v>
      </c>
      <c r="AT46" s="245" t="s">
        <v>621</v>
      </c>
      <c r="AU46" s="245" t="s">
        <v>621</v>
      </c>
      <c r="AV46" s="245" t="s">
        <v>621</v>
      </c>
      <c r="AW46" s="245" t="s">
        <v>621</v>
      </c>
      <c r="AX46" s="245">
        <v>0</v>
      </c>
      <c r="AY46" s="245" t="s">
        <v>621</v>
      </c>
      <c r="AZ46" s="245" t="s">
        <v>621</v>
      </c>
      <c r="BA46" s="245" t="s">
        <v>621</v>
      </c>
      <c r="BB46" s="245" t="s">
        <v>621</v>
      </c>
      <c r="BC46" s="245" t="s">
        <v>621</v>
      </c>
      <c r="BD46" s="245" t="s">
        <v>621</v>
      </c>
      <c r="BE46" s="245">
        <f>'4'!AS47</f>
        <v>1.032</v>
      </c>
      <c r="BF46" s="245" t="s">
        <v>621</v>
      </c>
      <c r="BG46" s="245" t="s">
        <v>621</v>
      </c>
      <c r="BH46" s="245" t="s">
        <v>621</v>
      </c>
      <c r="BI46" s="245" t="s">
        <v>621</v>
      </c>
      <c r="BJ46" s="245" t="s">
        <v>621</v>
      </c>
      <c r="BK46" s="245" t="s">
        <v>621</v>
      </c>
      <c r="BL46" s="245" t="s">
        <v>621</v>
      </c>
      <c r="BM46" s="245" t="s">
        <v>621</v>
      </c>
      <c r="BN46" s="245" t="s">
        <v>621</v>
      </c>
      <c r="BO46" s="245" t="s">
        <v>621</v>
      </c>
      <c r="BP46" s="245" t="s">
        <v>621</v>
      </c>
      <c r="BQ46" s="245" t="s">
        <v>621</v>
      </c>
      <c r="BR46" s="245" t="s">
        <v>621</v>
      </c>
      <c r="BS46" s="245">
        <f>'4'!BG47</f>
        <v>0</v>
      </c>
      <c r="BT46" s="245" t="s">
        <v>621</v>
      </c>
      <c r="BU46" s="245" t="s">
        <v>621</v>
      </c>
      <c r="BV46" s="245" t="s">
        <v>621</v>
      </c>
      <c r="BW46" s="245" t="s">
        <v>621</v>
      </c>
      <c r="BX46" s="245" t="s">
        <v>621</v>
      </c>
      <c r="BY46" s="245" t="s">
        <v>621</v>
      </c>
      <c r="BZ46" s="245" t="s">
        <v>621</v>
      </c>
      <c r="CA46" s="245" t="s">
        <v>621</v>
      </c>
      <c r="CB46" s="245" t="s">
        <v>621</v>
      </c>
      <c r="CC46" s="245" t="s">
        <v>621</v>
      </c>
      <c r="CD46" s="245" t="s">
        <v>621</v>
      </c>
      <c r="CE46" s="245" t="s">
        <v>621</v>
      </c>
      <c r="CF46" s="245" t="s">
        <v>621</v>
      </c>
      <c r="CG46" s="245" t="s">
        <v>621</v>
      </c>
      <c r="CH46" s="245" t="s">
        <v>621</v>
      </c>
      <c r="CI46" s="245" t="s">
        <v>621</v>
      </c>
      <c r="CJ46" s="245" t="s">
        <v>621</v>
      </c>
      <c r="CK46" s="245" t="s">
        <v>621</v>
      </c>
      <c r="CL46" s="245" t="s">
        <v>621</v>
      </c>
      <c r="CM46" s="245" t="s">
        <v>621</v>
      </c>
      <c r="CN46" s="245" t="s">
        <v>621</v>
      </c>
      <c r="CO46" s="245" t="s">
        <v>621</v>
      </c>
      <c r="CP46" s="245" t="s">
        <v>621</v>
      </c>
      <c r="CQ46" s="245" t="s">
        <v>621</v>
      </c>
      <c r="CR46" s="245" t="s">
        <v>621</v>
      </c>
      <c r="CS46" s="245" t="s">
        <v>621</v>
      </c>
      <c r="CT46" s="245" t="s">
        <v>621</v>
      </c>
      <c r="CU46" s="245" t="s">
        <v>621</v>
      </c>
      <c r="CV46" s="245" t="s">
        <v>621</v>
      </c>
      <c r="CW46" s="245" t="s">
        <v>621</v>
      </c>
      <c r="CX46" s="245" t="s">
        <v>621</v>
      </c>
      <c r="CY46" s="245" t="s">
        <v>621</v>
      </c>
      <c r="CZ46" s="245" t="s">
        <v>621</v>
      </c>
      <c r="DA46" s="245" t="s">
        <v>621</v>
      </c>
      <c r="DB46" s="245" t="s">
        <v>621</v>
      </c>
      <c r="DC46" s="245" t="s">
        <v>621</v>
      </c>
      <c r="DD46" s="245" t="s">
        <v>621</v>
      </c>
      <c r="DE46" s="245" t="s">
        <v>621</v>
      </c>
      <c r="DF46" s="245" t="s">
        <v>621</v>
      </c>
      <c r="DG46" s="245" t="s">
        <v>621</v>
      </c>
      <c r="DH46" s="245" t="s">
        <v>621</v>
      </c>
      <c r="DI46" s="257">
        <f t="shared" si="1"/>
        <v>1.032</v>
      </c>
      <c r="DJ46" s="245" t="s">
        <v>621</v>
      </c>
      <c r="DK46" s="245" t="s">
        <v>621</v>
      </c>
      <c r="DL46" s="245"/>
    </row>
    <row r="47" spans="1:116" s="913" customFormat="1" ht="40.5" x14ac:dyDescent="0.25">
      <c r="A47" s="153" t="s">
        <v>1670</v>
      </c>
      <c r="B47" s="1104" t="s">
        <v>1682</v>
      </c>
      <c r="C47" s="911" t="s">
        <v>1694</v>
      </c>
      <c r="D47" s="245" t="s">
        <v>621</v>
      </c>
      <c r="E47" s="245" t="s">
        <v>621</v>
      </c>
      <c r="F47" s="245" t="s">
        <v>621</v>
      </c>
      <c r="G47" s="245" t="s">
        <v>621</v>
      </c>
      <c r="H47" s="245" t="s">
        <v>621</v>
      </c>
      <c r="I47" s="245" t="s">
        <v>621</v>
      </c>
      <c r="J47" s="245" t="s">
        <v>621</v>
      </c>
      <c r="K47" s="245" t="s">
        <v>621</v>
      </c>
      <c r="L47" s="245" t="s">
        <v>621</v>
      </c>
      <c r="M47" s="245" t="s">
        <v>621</v>
      </c>
      <c r="N47" s="245" t="s">
        <v>621</v>
      </c>
      <c r="O47" s="257">
        <f>'4'!AS48</f>
        <v>0.41299999999999998</v>
      </c>
      <c r="P47" s="245" t="s">
        <v>621</v>
      </c>
      <c r="Q47" s="245" t="s">
        <v>621</v>
      </c>
      <c r="R47" s="245" t="s">
        <v>621</v>
      </c>
      <c r="S47" s="245" t="s">
        <v>621</v>
      </c>
      <c r="T47" s="245" t="s">
        <v>621</v>
      </c>
      <c r="U47" s="245" t="s">
        <v>621</v>
      </c>
      <c r="V47" s="245" t="s">
        <v>621</v>
      </c>
      <c r="W47" s="245" t="s">
        <v>621</v>
      </c>
      <c r="X47" s="245" t="s">
        <v>621</v>
      </c>
      <c r="Y47" s="245" t="s">
        <v>621</v>
      </c>
      <c r="Z47" s="245" t="s">
        <v>621</v>
      </c>
      <c r="AA47" s="245" t="s">
        <v>621</v>
      </c>
      <c r="AB47" s="245" t="s">
        <v>621</v>
      </c>
      <c r="AC47" s="245" t="s">
        <v>621</v>
      </c>
      <c r="AD47" s="245" t="s">
        <v>621</v>
      </c>
      <c r="AE47" s="245" t="s">
        <v>621</v>
      </c>
      <c r="AF47" s="245" t="s">
        <v>621</v>
      </c>
      <c r="AG47" s="245" t="s">
        <v>621</v>
      </c>
      <c r="AH47" s="245" t="s">
        <v>621</v>
      </c>
      <c r="AI47" s="245" t="s">
        <v>621</v>
      </c>
      <c r="AJ47" s="245" t="s">
        <v>621</v>
      </c>
      <c r="AK47" s="245" t="s">
        <v>621</v>
      </c>
      <c r="AL47" s="245" t="s">
        <v>621</v>
      </c>
      <c r="AM47" s="245" t="s">
        <v>621</v>
      </c>
      <c r="AN47" s="245" t="s">
        <v>621</v>
      </c>
      <c r="AO47" s="245" t="s">
        <v>621</v>
      </c>
      <c r="AP47" s="245" t="s">
        <v>621</v>
      </c>
      <c r="AQ47" s="245">
        <v>0</v>
      </c>
      <c r="AR47" s="245" t="s">
        <v>621</v>
      </c>
      <c r="AS47" s="245" t="s">
        <v>621</v>
      </c>
      <c r="AT47" s="245" t="s">
        <v>621</v>
      </c>
      <c r="AU47" s="245" t="s">
        <v>621</v>
      </c>
      <c r="AV47" s="245" t="s">
        <v>621</v>
      </c>
      <c r="AW47" s="245" t="s">
        <v>621</v>
      </c>
      <c r="AX47" s="245">
        <v>0</v>
      </c>
      <c r="AY47" s="245" t="s">
        <v>621</v>
      </c>
      <c r="AZ47" s="245" t="s">
        <v>621</v>
      </c>
      <c r="BA47" s="245" t="s">
        <v>621</v>
      </c>
      <c r="BB47" s="245" t="s">
        <v>621</v>
      </c>
      <c r="BC47" s="245" t="s">
        <v>621</v>
      </c>
      <c r="BD47" s="245" t="s">
        <v>621</v>
      </c>
      <c r="BE47" s="245">
        <f>'4'!AS48</f>
        <v>0.41299999999999998</v>
      </c>
      <c r="BF47" s="245" t="s">
        <v>621</v>
      </c>
      <c r="BG47" s="245" t="s">
        <v>621</v>
      </c>
      <c r="BH47" s="245" t="s">
        <v>621</v>
      </c>
      <c r="BI47" s="245" t="s">
        <v>621</v>
      </c>
      <c r="BJ47" s="245" t="s">
        <v>621</v>
      </c>
      <c r="BK47" s="245" t="s">
        <v>621</v>
      </c>
      <c r="BL47" s="245" t="s">
        <v>621</v>
      </c>
      <c r="BM47" s="245" t="s">
        <v>621</v>
      </c>
      <c r="BN47" s="245" t="s">
        <v>621</v>
      </c>
      <c r="BO47" s="245" t="s">
        <v>621</v>
      </c>
      <c r="BP47" s="245" t="s">
        <v>621</v>
      </c>
      <c r="BQ47" s="245" t="s">
        <v>621</v>
      </c>
      <c r="BR47" s="245" t="s">
        <v>621</v>
      </c>
      <c r="BS47" s="245">
        <f>'4'!BG48</f>
        <v>0</v>
      </c>
      <c r="BT47" s="245" t="s">
        <v>621</v>
      </c>
      <c r="BU47" s="245" t="s">
        <v>621</v>
      </c>
      <c r="BV47" s="245" t="s">
        <v>621</v>
      </c>
      <c r="BW47" s="245" t="s">
        <v>621</v>
      </c>
      <c r="BX47" s="245" t="s">
        <v>621</v>
      </c>
      <c r="BY47" s="245" t="s">
        <v>621</v>
      </c>
      <c r="BZ47" s="245" t="s">
        <v>621</v>
      </c>
      <c r="CA47" s="245" t="s">
        <v>621</v>
      </c>
      <c r="CB47" s="245" t="s">
        <v>621</v>
      </c>
      <c r="CC47" s="245" t="s">
        <v>621</v>
      </c>
      <c r="CD47" s="245" t="s">
        <v>621</v>
      </c>
      <c r="CE47" s="245" t="s">
        <v>621</v>
      </c>
      <c r="CF47" s="245" t="s">
        <v>621</v>
      </c>
      <c r="CG47" s="245" t="s">
        <v>621</v>
      </c>
      <c r="CH47" s="245" t="s">
        <v>621</v>
      </c>
      <c r="CI47" s="245" t="s">
        <v>621</v>
      </c>
      <c r="CJ47" s="245" t="s">
        <v>621</v>
      </c>
      <c r="CK47" s="245" t="s">
        <v>621</v>
      </c>
      <c r="CL47" s="245" t="s">
        <v>621</v>
      </c>
      <c r="CM47" s="245" t="s">
        <v>621</v>
      </c>
      <c r="CN47" s="245" t="s">
        <v>621</v>
      </c>
      <c r="CO47" s="245" t="s">
        <v>621</v>
      </c>
      <c r="CP47" s="245" t="s">
        <v>621</v>
      </c>
      <c r="CQ47" s="245" t="s">
        <v>621</v>
      </c>
      <c r="CR47" s="245" t="s">
        <v>621</v>
      </c>
      <c r="CS47" s="245" t="s">
        <v>621</v>
      </c>
      <c r="CT47" s="245" t="s">
        <v>621</v>
      </c>
      <c r="CU47" s="245" t="s">
        <v>621</v>
      </c>
      <c r="CV47" s="245" t="s">
        <v>621</v>
      </c>
      <c r="CW47" s="245" t="s">
        <v>621</v>
      </c>
      <c r="CX47" s="245" t="s">
        <v>621</v>
      </c>
      <c r="CY47" s="245" t="s">
        <v>621</v>
      </c>
      <c r="CZ47" s="245" t="s">
        <v>621</v>
      </c>
      <c r="DA47" s="245" t="s">
        <v>621</v>
      </c>
      <c r="DB47" s="245" t="s">
        <v>621</v>
      </c>
      <c r="DC47" s="245" t="s">
        <v>621</v>
      </c>
      <c r="DD47" s="245" t="s">
        <v>621</v>
      </c>
      <c r="DE47" s="245" t="s">
        <v>621</v>
      </c>
      <c r="DF47" s="245" t="s">
        <v>621</v>
      </c>
      <c r="DG47" s="245" t="s">
        <v>621</v>
      </c>
      <c r="DH47" s="245" t="s">
        <v>621</v>
      </c>
      <c r="DI47" s="257">
        <f t="shared" si="1"/>
        <v>0.41299999999999998</v>
      </c>
      <c r="DJ47" s="245" t="s">
        <v>621</v>
      </c>
      <c r="DK47" s="245" t="s">
        <v>621</v>
      </c>
      <c r="DL47" s="245"/>
    </row>
    <row r="48" spans="1:116" s="978" customFormat="1" ht="40.5" x14ac:dyDescent="0.25">
      <c r="A48" s="153" t="s">
        <v>1716</v>
      </c>
      <c r="B48" s="154" t="s">
        <v>1715</v>
      </c>
      <c r="C48" s="972" t="str">
        <f>CONCATENATE("J","_",E48,"_",A48)</f>
        <v>J_нд_1.2.2.1.25</v>
      </c>
      <c r="D48" s="245" t="s">
        <v>621</v>
      </c>
      <c r="E48" s="245" t="s">
        <v>621</v>
      </c>
      <c r="F48" s="245" t="s">
        <v>621</v>
      </c>
      <c r="G48" s="245" t="s">
        <v>621</v>
      </c>
      <c r="H48" s="245" t="s">
        <v>621</v>
      </c>
      <c r="I48" s="245" t="s">
        <v>621</v>
      </c>
      <c r="J48" s="245" t="s">
        <v>621</v>
      </c>
      <c r="K48" s="245" t="s">
        <v>621</v>
      </c>
      <c r="L48" s="245" t="s">
        <v>621</v>
      </c>
      <c r="M48" s="245" t="s">
        <v>621</v>
      </c>
      <c r="N48" s="245" t="s">
        <v>621</v>
      </c>
      <c r="O48" s="257">
        <v>6.96</v>
      </c>
      <c r="P48" s="245" t="s">
        <v>621</v>
      </c>
      <c r="Q48" s="245" t="s">
        <v>621</v>
      </c>
      <c r="R48" s="245" t="s">
        <v>621</v>
      </c>
      <c r="S48" s="245" t="s">
        <v>621</v>
      </c>
      <c r="T48" s="245" t="s">
        <v>621</v>
      </c>
      <c r="U48" s="245" t="s">
        <v>621</v>
      </c>
      <c r="V48" s="245" t="s">
        <v>621</v>
      </c>
      <c r="W48" s="245" t="s">
        <v>621</v>
      </c>
      <c r="X48" s="245" t="s">
        <v>621</v>
      </c>
      <c r="Y48" s="245" t="s">
        <v>621</v>
      </c>
      <c r="Z48" s="245" t="s">
        <v>621</v>
      </c>
      <c r="AA48" s="245" t="s">
        <v>621</v>
      </c>
      <c r="AB48" s="245" t="s">
        <v>621</v>
      </c>
      <c r="AC48" s="245" t="s">
        <v>621</v>
      </c>
      <c r="AD48" s="245" t="s">
        <v>621</v>
      </c>
      <c r="AE48" s="245" t="s">
        <v>621</v>
      </c>
      <c r="AF48" s="245" t="s">
        <v>621</v>
      </c>
      <c r="AG48" s="245" t="s">
        <v>621</v>
      </c>
      <c r="AH48" s="245" t="s">
        <v>621</v>
      </c>
      <c r="AI48" s="245" t="s">
        <v>621</v>
      </c>
      <c r="AJ48" s="245" t="s">
        <v>621</v>
      </c>
      <c r="AK48" s="245" t="s">
        <v>621</v>
      </c>
      <c r="AL48" s="245" t="s">
        <v>621</v>
      </c>
      <c r="AM48" s="245" t="s">
        <v>621</v>
      </c>
      <c r="AN48" s="245" t="s">
        <v>621</v>
      </c>
      <c r="AO48" s="245" t="s">
        <v>621</v>
      </c>
      <c r="AP48" s="245" t="s">
        <v>621</v>
      </c>
      <c r="AQ48" s="245">
        <v>0</v>
      </c>
      <c r="AR48" s="245" t="s">
        <v>621</v>
      </c>
      <c r="AS48" s="245" t="s">
        <v>621</v>
      </c>
      <c r="AT48" s="245" t="s">
        <v>621</v>
      </c>
      <c r="AU48" s="245" t="s">
        <v>621</v>
      </c>
      <c r="AV48" s="245" t="s">
        <v>621</v>
      </c>
      <c r="AW48" s="245" t="s">
        <v>621</v>
      </c>
      <c r="AX48" s="245">
        <v>0</v>
      </c>
      <c r="AY48" s="245" t="s">
        <v>621</v>
      </c>
      <c r="AZ48" s="245" t="s">
        <v>621</v>
      </c>
      <c r="BA48" s="245" t="s">
        <v>621</v>
      </c>
      <c r="BB48" s="245" t="s">
        <v>621</v>
      </c>
      <c r="BC48" s="245" t="s">
        <v>621</v>
      </c>
      <c r="BD48" s="245" t="s">
        <v>621</v>
      </c>
      <c r="BE48" s="245">
        <f>'4'!AS49</f>
        <v>0</v>
      </c>
      <c r="BF48" s="245" t="s">
        <v>621</v>
      </c>
      <c r="BG48" s="245" t="s">
        <v>621</v>
      </c>
      <c r="BH48" s="245" t="s">
        <v>621</v>
      </c>
      <c r="BI48" s="245" t="s">
        <v>621</v>
      </c>
      <c r="BJ48" s="245" t="s">
        <v>621</v>
      </c>
      <c r="BK48" s="245" t="s">
        <v>621</v>
      </c>
      <c r="BL48" s="245" t="s">
        <v>621</v>
      </c>
      <c r="BM48" s="245" t="s">
        <v>621</v>
      </c>
      <c r="BN48" s="245" t="s">
        <v>621</v>
      </c>
      <c r="BO48" s="245" t="s">
        <v>621</v>
      </c>
      <c r="BP48" s="245" t="s">
        <v>621</v>
      </c>
      <c r="BQ48" s="245" t="s">
        <v>621</v>
      </c>
      <c r="BR48" s="245" t="s">
        <v>621</v>
      </c>
      <c r="BS48" s="245">
        <f>'4'!BG49</f>
        <v>6.96</v>
      </c>
      <c r="BT48" s="245" t="s">
        <v>621</v>
      </c>
      <c r="BU48" s="245" t="s">
        <v>621</v>
      </c>
      <c r="BV48" s="245" t="s">
        <v>621</v>
      </c>
      <c r="BW48" s="245" t="s">
        <v>621</v>
      </c>
      <c r="BX48" s="245" t="s">
        <v>621</v>
      </c>
      <c r="BY48" s="245" t="s">
        <v>621</v>
      </c>
      <c r="BZ48" s="245" t="s">
        <v>621</v>
      </c>
      <c r="CA48" s="245" t="s">
        <v>621</v>
      </c>
      <c r="CB48" s="245" t="s">
        <v>621</v>
      </c>
      <c r="CC48" s="245" t="s">
        <v>621</v>
      </c>
      <c r="CD48" s="245" t="s">
        <v>621</v>
      </c>
      <c r="CE48" s="245" t="s">
        <v>621</v>
      </c>
      <c r="CF48" s="245" t="s">
        <v>621</v>
      </c>
      <c r="CG48" s="245" t="s">
        <v>621</v>
      </c>
      <c r="CH48" s="245" t="s">
        <v>621</v>
      </c>
      <c r="CI48" s="245" t="s">
        <v>621</v>
      </c>
      <c r="CJ48" s="245" t="s">
        <v>621</v>
      </c>
      <c r="CK48" s="245" t="s">
        <v>621</v>
      </c>
      <c r="CL48" s="245" t="s">
        <v>621</v>
      </c>
      <c r="CM48" s="245" t="s">
        <v>621</v>
      </c>
      <c r="CN48" s="245" t="s">
        <v>621</v>
      </c>
      <c r="CO48" s="245" t="s">
        <v>621</v>
      </c>
      <c r="CP48" s="245" t="s">
        <v>621</v>
      </c>
      <c r="CQ48" s="245" t="s">
        <v>621</v>
      </c>
      <c r="CR48" s="245" t="s">
        <v>621</v>
      </c>
      <c r="CS48" s="245" t="s">
        <v>621</v>
      </c>
      <c r="CT48" s="245" t="s">
        <v>621</v>
      </c>
      <c r="CU48" s="245" t="s">
        <v>621</v>
      </c>
      <c r="CV48" s="245" t="s">
        <v>621</v>
      </c>
      <c r="CW48" s="245" t="s">
        <v>621</v>
      </c>
      <c r="CX48" s="245" t="s">
        <v>621</v>
      </c>
      <c r="CY48" s="245" t="s">
        <v>621</v>
      </c>
      <c r="CZ48" s="245" t="s">
        <v>621</v>
      </c>
      <c r="DA48" s="245" t="s">
        <v>621</v>
      </c>
      <c r="DB48" s="245" t="s">
        <v>621</v>
      </c>
      <c r="DC48" s="245" t="s">
        <v>621</v>
      </c>
      <c r="DD48" s="245" t="s">
        <v>621</v>
      </c>
      <c r="DE48" s="245" t="s">
        <v>621</v>
      </c>
      <c r="DF48" s="245" t="s">
        <v>621</v>
      </c>
      <c r="DG48" s="245" t="s">
        <v>621</v>
      </c>
      <c r="DH48" s="245" t="s">
        <v>621</v>
      </c>
      <c r="DI48" s="257">
        <f t="shared" si="1"/>
        <v>6.96</v>
      </c>
      <c r="DJ48" s="245" t="s">
        <v>621</v>
      </c>
      <c r="DK48" s="245" t="s">
        <v>621</v>
      </c>
      <c r="DL48" s="245"/>
    </row>
    <row r="49" spans="1:116" s="539" customFormat="1" ht="46.5" x14ac:dyDescent="0.25">
      <c r="A49" s="543" t="s">
        <v>546</v>
      </c>
      <c r="B49" s="1116" t="s">
        <v>739</v>
      </c>
      <c r="C49" s="547" t="s">
        <v>621</v>
      </c>
      <c r="D49" s="545" t="str">
        <f t="shared" ref="D49:BO50" si="2">D50</f>
        <v>нд</v>
      </c>
      <c r="E49" s="545" t="str">
        <f t="shared" si="2"/>
        <v>нд</v>
      </c>
      <c r="F49" s="545" t="str">
        <f t="shared" si="2"/>
        <v>нд</v>
      </c>
      <c r="G49" s="545" t="str">
        <f t="shared" si="2"/>
        <v>нд</v>
      </c>
      <c r="H49" s="545" t="str">
        <f t="shared" si="2"/>
        <v>нд</v>
      </c>
      <c r="I49" s="545" t="str">
        <f t="shared" si="2"/>
        <v>нд</v>
      </c>
      <c r="J49" s="545">
        <v>11185</v>
      </c>
      <c r="K49" s="545" t="str">
        <f t="shared" si="2"/>
        <v>нд</v>
      </c>
      <c r="L49" s="545" t="str">
        <f t="shared" si="2"/>
        <v>нд</v>
      </c>
      <c r="M49" s="545" t="str">
        <f t="shared" si="2"/>
        <v>нд</v>
      </c>
      <c r="N49" s="545" t="str">
        <f t="shared" si="2"/>
        <v>нд</v>
      </c>
      <c r="O49" s="545" t="str">
        <f t="shared" si="2"/>
        <v>нд</v>
      </c>
      <c r="P49" s="545" t="str">
        <f t="shared" si="2"/>
        <v>нд</v>
      </c>
      <c r="Q49" s="545">
        <f t="shared" si="2"/>
        <v>11185</v>
      </c>
      <c r="R49" s="545" t="str">
        <f t="shared" si="2"/>
        <v>нд</v>
      </c>
      <c r="S49" s="545" t="str">
        <f t="shared" si="2"/>
        <v>нд</v>
      </c>
      <c r="T49" s="545" t="str">
        <f t="shared" si="2"/>
        <v>нд</v>
      </c>
      <c r="U49" s="545" t="str">
        <f t="shared" si="2"/>
        <v>нд</v>
      </c>
      <c r="V49" s="545" t="str">
        <f t="shared" si="2"/>
        <v>нд</v>
      </c>
      <c r="W49" s="545" t="str">
        <f t="shared" si="2"/>
        <v>нд</v>
      </c>
      <c r="X49" s="545" t="str">
        <f t="shared" si="2"/>
        <v>нд</v>
      </c>
      <c r="Y49" s="545" t="str">
        <f t="shared" si="2"/>
        <v>нд</v>
      </c>
      <c r="Z49" s="545" t="str">
        <f t="shared" si="2"/>
        <v>нд</v>
      </c>
      <c r="AA49" s="545" t="str">
        <f t="shared" si="2"/>
        <v>нд</v>
      </c>
      <c r="AB49" s="545" t="str">
        <f t="shared" si="2"/>
        <v>нд</v>
      </c>
      <c r="AC49" s="545" t="str">
        <f t="shared" si="2"/>
        <v>нд</v>
      </c>
      <c r="AD49" s="545" t="str">
        <f t="shared" si="2"/>
        <v>нд</v>
      </c>
      <c r="AE49" s="545" t="str">
        <f t="shared" si="2"/>
        <v>нд</v>
      </c>
      <c r="AF49" s="545" t="str">
        <f t="shared" si="2"/>
        <v>нд</v>
      </c>
      <c r="AG49" s="545" t="str">
        <f t="shared" si="2"/>
        <v>нд</v>
      </c>
      <c r="AH49" s="545" t="str">
        <f t="shared" si="2"/>
        <v>нд</v>
      </c>
      <c r="AI49" s="545" t="str">
        <f t="shared" si="2"/>
        <v>нд</v>
      </c>
      <c r="AJ49" s="545" t="str">
        <f t="shared" si="2"/>
        <v>нд</v>
      </c>
      <c r="AK49" s="545" t="str">
        <f t="shared" si="2"/>
        <v>нд</v>
      </c>
      <c r="AL49" s="545" t="str">
        <f t="shared" si="2"/>
        <v>нд</v>
      </c>
      <c r="AM49" s="545" t="str">
        <f t="shared" si="2"/>
        <v>нд</v>
      </c>
      <c r="AN49" s="545" t="str">
        <f t="shared" si="2"/>
        <v>нд</v>
      </c>
      <c r="AO49" s="545" t="str">
        <f t="shared" si="2"/>
        <v>нд</v>
      </c>
      <c r="AP49" s="545" t="str">
        <f t="shared" si="2"/>
        <v>нд</v>
      </c>
      <c r="AQ49" s="545" t="str">
        <f t="shared" si="2"/>
        <v>нд</v>
      </c>
      <c r="AR49" s="545" t="str">
        <f t="shared" si="2"/>
        <v>нд</v>
      </c>
      <c r="AS49" s="545" t="str">
        <f t="shared" si="2"/>
        <v>нд</v>
      </c>
      <c r="AT49" s="545" t="str">
        <f t="shared" si="2"/>
        <v>нд</v>
      </c>
      <c r="AU49" s="545" t="str">
        <f t="shared" si="2"/>
        <v>нд</v>
      </c>
      <c r="AV49" s="545" t="str">
        <f t="shared" si="2"/>
        <v>нд</v>
      </c>
      <c r="AW49" s="545" t="str">
        <f t="shared" si="2"/>
        <v>нд</v>
      </c>
      <c r="AX49" s="545" t="str">
        <f t="shared" si="2"/>
        <v>нд</v>
      </c>
      <c r="AY49" s="545" t="str">
        <f t="shared" si="2"/>
        <v>нд</v>
      </c>
      <c r="AZ49" s="545">
        <v>2762</v>
      </c>
      <c r="BA49" s="545" t="str">
        <f t="shared" si="2"/>
        <v>нд</v>
      </c>
      <c r="BB49" s="545" t="str">
        <f t="shared" si="2"/>
        <v>нд</v>
      </c>
      <c r="BC49" s="545" t="str">
        <f t="shared" si="2"/>
        <v>нд</v>
      </c>
      <c r="BD49" s="545" t="str">
        <f t="shared" si="2"/>
        <v>нд</v>
      </c>
      <c r="BE49" s="545" t="str">
        <f t="shared" si="2"/>
        <v>нд</v>
      </c>
      <c r="BF49" s="545" t="str">
        <f t="shared" si="2"/>
        <v>нд</v>
      </c>
      <c r="BG49" s="545">
        <f t="shared" si="2"/>
        <v>2762</v>
      </c>
      <c r="BH49" s="545" t="str">
        <f t="shared" si="2"/>
        <v>нд</v>
      </c>
      <c r="BI49" s="545" t="str">
        <f t="shared" si="2"/>
        <v>нд</v>
      </c>
      <c r="BJ49" s="545" t="str">
        <f t="shared" si="2"/>
        <v>нд</v>
      </c>
      <c r="BK49" s="545" t="str">
        <f t="shared" si="2"/>
        <v>нд</v>
      </c>
      <c r="BL49" s="545" t="str">
        <f t="shared" si="2"/>
        <v>нд</v>
      </c>
      <c r="BM49" s="545" t="str">
        <f t="shared" si="2"/>
        <v>нд</v>
      </c>
      <c r="BN49" s="545" t="str">
        <f t="shared" si="2"/>
        <v>нд</v>
      </c>
      <c r="BO49" s="545" t="str">
        <f t="shared" si="2"/>
        <v>нд</v>
      </c>
      <c r="BP49" s="545" t="str">
        <f t="shared" ref="BP49:DJ50" si="3">BP50</f>
        <v>нд</v>
      </c>
      <c r="BQ49" s="545" t="str">
        <f t="shared" si="3"/>
        <v>нд</v>
      </c>
      <c r="BR49" s="545" t="str">
        <f t="shared" si="3"/>
        <v>нд</v>
      </c>
      <c r="BS49" s="545" t="str">
        <f t="shared" si="3"/>
        <v>нд</v>
      </c>
      <c r="BT49" s="545" t="str">
        <f t="shared" si="3"/>
        <v>нд</v>
      </c>
      <c r="BU49" s="545">
        <f t="shared" si="3"/>
        <v>2658</v>
      </c>
      <c r="BV49" s="545" t="str">
        <f t="shared" si="3"/>
        <v>нд</v>
      </c>
      <c r="BW49" s="545" t="str">
        <f t="shared" si="3"/>
        <v>нд</v>
      </c>
      <c r="BX49" s="545" t="str">
        <f t="shared" si="3"/>
        <v>нд</v>
      </c>
      <c r="BY49" s="545" t="str">
        <f t="shared" si="3"/>
        <v>нд</v>
      </c>
      <c r="BZ49" s="545" t="str">
        <f t="shared" si="3"/>
        <v>нд</v>
      </c>
      <c r="CA49" s="545" t="str">
        <f t="shared" si="3"/>
        <v>нд</v>
      </c>
      <c r="CB49" s="545" t="str">
        <f t="shared" si="3"/>
        <v>нд</v>
      </c>
      <c r="CC49" s="545" t="str">
        <f t="shared" si="3"/>
        <v>нд</v>
      </c>
      <c r="CD49" s="545" t="str">
        <f t="shared" si="3"/>
        <v>нд</v>
      </c>
      <c r="CE49" s="545" t="str">
        <f t="shared" si="3"/>
        <v>нд</v>
      </c>
      <c r="CF49" s="545" t="str">
        <f t="shared" si="3"/>
        <v>нд</v>
      </c>
      <c r="CG49" s="545" t="str">
        <f t="shared" si="3"/>
        <v>нд</v>
      </c>
      <c r="CH49" s="545" t="str">
        <f t="shared" si="3"/>
        <v>нд</v>
      </c>
      <c r="CI49" s="545">
        <f t="shared" si="3"/>
        <v>2941</v>
      </c>
      <c r="CJ49" s="545" t="str">
        <f t="shared" si="3"/>
        <v>нд</v>
      </c>
      <c r="CK49" s="545" t="str">
        <f t="shared" si="3"/>
        <v>нд</v>
      </c>
      <c r="CL49" s="545" t="str">
        <f t="shared" si="3"/>
        <v>нд</v>
      </c>
      <c r="CM49" s="545" t="str">
        <f t="shared" si="3"/>
        <v>нд</v>
      </c>
      <c r="CN49" s="545" t="str">
        <f t="shared" si="3"/>
        <v>нд</v>
      </c>
      <c r="CO49" s="545" t="str">
        <f t="shared" si="3"/>
        <v>нд</v>
      </c>
      <c r="CP49" s="545" t="str">
        <f t="shared" si="3"/>
        <v>нд</v>
      </c>
      <c r="CQ49" s="545" t="str">
        <f t="shared" si="3"/>
        <v>нд</v>
      </c>
      <c r="CR49" s="545" t="str">
        <f t="shared" si="3"/>
        <v>нд</v>
      </c>
      <c r="CS49" s="545" t="str">
        <f t="shared" si="3"/>
        <v>нд</v>
      </c>
      <c r="CT49" s="545" t="str">
        <f t="shared" si="3"/>
        <v>нд</v>
      </c>
      <c r="CU49" s="545" t="str">
        <f t="shared" si="3"/>
        <v>нд</v>
      </c>
      <c r="CV49" s="545" t="str">
        <f t="shared" si="3"/>
        <v>нд</v>
      </c>
      <c r="CW49" s="545">
        <f t="shared" si="3"/>
        <v>2824</v>
      </c>
      <c r="CX49" s="545" t="str">
        <f t="shared" si="3"/>
        <v>нд</v>
      </c>
      <c r="CY49" s="545" t="str">
        <f t="shared" si="3"/>
        <v>нд</v>
      </c>
      <c r="CZ49" s="545" t="str">
        <f t="shared" si="3"/>
        <v>нд</v>
      </c>
      <c r="DA49" s="545" t="str">
        <f t="shared" si="3"/>
        <v>нд</v>
      </c>
      <c r="DB49" s="545" t="str">
        <f t="shared" si="3"/>
        <v>нд</v>
      </c>
      <c r="DC49" s="545" t="str">
        <f t="shared" si="3"/>
        <v>нд</v>
      </c>
      <c r="DD49" s="545">
        <v>11185</v>
      </c>
      <c r="DE49" s="545" t="str">
        <f t="shared" si="3"/>
        <v>нд</v>
      </c>
      <c r="DF49" s="545" t="str">
        <f t="shared" si="3"/>
        <v>нд</v>
      </c>
      <c r="DG49" s="545" t="str">
        <f t="shared" si="3"/>
        <v>нд</v>
      </c>
      <c r="DH49" s="545" t="str">
        <f t="shared" si="3"/>
        <v>нд</v>
      </c>
      <c r="DI49" s="545" t="str">
        <f t="shared" si="3"/>
        <v>нд</v>
      </c>
      <c r="DJ49" s="545" t="str">
        <f t="shared" si="3"/>
        <v>нд</v>
      </c>
      <c r="DK49" s="545">
        <v>11185</v>
      </c>
      <c r="DL49" s="546"/>
    </row>
    <row r="50" spans="1:116" s="539" customFormat="1" ht="40.5" x14ac:dyDescent="0.25">
      <c r="A50" s="380" t="s">
        <v>599</v>
      </c>
      <c r="B50" s="1104" t="s">
        <v>740</v>
      </c>
      <c r="C50" s="911" t="s">
        <v>621</v>
      </c>
      <c r="D50" s="241" t="str">
        <f t="shared" si="2"/>
        <v>нд</v>
      </c>
      <c r="E50" s="241" t="str">
        <f t="shared" si="2"/>
        <v>нд</v>
      </c>
      <c r="F50" s="241" t="str">
        <f t="shared" si="2"/>
        <v>нд</v>
      </c>
      <c r="G50" s="241" t="str">
        <f t="shared" si="2"/>
        <v>нд</v>
      </c>
      <c r="H50" s="241" t="str">
        <f t="shared" si="2"/>
        <v>нд</v>
      </c>
      <c r="I50" s="241" t="str">
        <f t="shared" si="2"/>
        <v>нд</v>
      </c>
      <c r="J50" s="241">
        <v>11185</v>
      </c>
      <c r="K50" s="241" t="str">
        <f t="shared" si="2"/>
        <v>нд</v>
      </c>
      <c r="L50" s="241" t="str">
        <f t="shared" si="2"/>
        <v>нд</v>
      </c>
      <c r="M50" s="241" t="str">
        <f t="shared" si="2"/>
        <v>нд</v>
      </c>
      <c r="N50" s="241" t="str">
        <f t="shared" si="2"/>
        <v>нд</v>
      </c>
      <c r="O50" s="241" t="str">
        <f t="shared" si="2"/>
        <v>нд</v>
      </c>
      <c r="P50" s="241" t="str">
        <f t="shared" si="2"/>
        <v>нд</v>
      </c>
      <c r="Q50" s="241">
        <f t="shared" si="2"/>
        <v>11185</v>
      </c>
      <c r="R50" s="241" t="str">
        <f t="shared" si="2"/>
        <v>нд</v>
      </c>
      <c r="S50" s="241" t="str">
        <f t="shared" si="2"/>
        <v>нд</v>
      </c>
      <c r="T50" s="241" t="str">
        <f t="shared" si="2"/>
        <v>нд</v>
      </c>
      <c r="U50" s="241" t="str">
        <f t="shared" si="2"/>
        <v>нд</v>
      </c>
      <c r="V50" s="241" t="str">
        <f t="shared" si="2"/>
        <v>нд</v>
      </c>
      <c r="W50" s="241" t="str">
        <f t="shared" si="2"/>
        <v>нд</v>
      </c>
      <c r="X50" s="241" t="str">
        <f t="shared" si="2"/>
        <v>нд</v>
      </c>
      <c r="Y50" s="241" t="str">
        <f t="shared" si="2"/>
        <v>нд</v>
      </c>
      <c r="Z50" s="241" t="str">
        <f t="shared" si="2"/>
        <v>нд</v>
      </c>
      <c r="AA50" s="241" t="str">
        <f t="shared" si="2"/>
        <v>нд</v>
      </c>
      <c r="AB50" s="241" t="str">
        <f t="shared" si="2"/>
        <v>нд</v>
      </c>
      <c r="AC50" s="241" t="str">
        <f t="shared" si="2"/>
        <v>нд</v>
      </c>
      <c r="AD50" s="241" t="str">
        <f t="shared" si="2"/>
        <v>нд</v>
      </c>
      <c r="AE50" s="241" t="str">
        <f t="shared" si="2"/>
        <v>нд</v>
      </c>
      <c r="AF50" s="241" t="str">
        <f t="shared" si="2"/>
        <v>нд</v>
      </c>
      <c r="AG50" s="241" t="str">
        <f t="shared" si="2"/>
        <v>нд</v>
      </c>
      <c r="AH50" s="241" t="str">
        <f t="shared" si="2"/>
        <v>нд</v>
      </c>
      <c r="AI50" s="241" t="str">
        <f t="shared" si="2"/>
        <v>нд</v>
      </c>
      <c r="AJ50" s="241" t="str">
        <f t="shared" si="2"/>
        <v>нд</v>
      </c>
      <c r="AK50" s="241" t="str">
        <f t="shared" si="2"/>
        <v>нд</v>
      </c>
      <c r="AL50" s="241" t="str">
        <f t="shared" si="2"/>
        <v>нд</v>
      </c>
      <c r="AM50" s="241" t="str">
        <f t="shared" si="2"/>
        <v>нд</v>
      </c>
      <c r="AN50" s="241" t="str">
        <f t="shared" si="2"/>
        <v>нд</v>
      </c>
      <c r="AO50" s="241" t="str">
        <f t="shared" si="2"/>
        <v>нд</v>
      </c>
      <c r="AP50" s="241" t="str">
        <f t="shared" si="2"/>
        <v>нд</v>
      </c>
      <c r="AQ50" s="241" t="str">
        <f t="shared" si="2"/>
        <v>нд</v>
      </c>
      <c r="AR50" s="241" t="str">
        <f t="shared" si="2"/>
        <v>нд</v>
      </c>
      <c r="AS50" s="241" t="str">
        <f t="shared" si="2"/>
        <v>нд</v>
      </c>
      <c r="AT50" s="241" t="str">
        <f t="shared" si="2"/>
        <v>нд</v>
      </c>
      <c r="AU50" s="241" t="str">
        <f t="shared" si="2"/>
        <v>нд</v>
      </c>
      <c r="AV50" s="241" t="str">
        <f t="shared" si="2"/>
        <v>нд</v>
      </c>
      <c r="AW50" s="241" t="str">
        <f t="shared" si="2"/>
        <v>нд</v>
      </c>
      <c r="AX50" s="241" t="str">
        <f t="shared" si="2"/>
        <v>нд</v>
      </c>
      <c r="AY50" s="241" t="str">
        <f t="shared" si="2"/>
        <v>нд</v>
      </c>
      <c r="AZ50" s="241">
        <v>2762</v>
      </c>
      <c r="BA50" s="241" t="str">
        <f t="shared" si="2"/>
        <v>нд</v>
      </c>
      <c r="BB50" s="241" t="str">
        <f t="shared" si="2"/>
        <v>нд</v>
      </c>
      <c r="BC50" s="241" t="str">
        <f t="shared" si="2"/>
        <v>нд</v>
      </c>
      <c r="BD50" s="241" t="str">
        <f t="shared" si="2"/>
        <v>нд</v>
      </c>
      <c r="BE50" s="241" t="str">
        <f t="shared" si="2"/>
        <v>нд</v>
      </c>
      <c r="BF50" s="241" t="str">
        <f t="shared" si="2"/>
        <v>нд</v>
      </c>
      <c r="BG50" s="241">
        <f t="shared" si="2"/>
        <v>2762</v>
      </c>
      <c r="BH50" s="241" t="str">
        <f t="shared" si="2"/>
        <v>нд</v>
      </c>
      <c r="BI50" s="241" t="str">
        <f t="shared" si="2"/>
        <v>нд</v>
      </c>
      <c r="BJ50" s="241" t="str">
        <f t="shared" si="2"/>
        <v>нд</v>
      </c>
      <c r="BK50" s="241" t="str">
        <f t="shared" si="2"/>
        <v>нд</v>
      </c>
      <c r="BL50" s="241" t="str">
        <f t="shared" si="2"/>
        <v>нд</v>
      </c>
      <c r="BM50" s="241" t="str">
        <f t="shared" si="2"/>
        <v>нд</v>
      </c>
      <c r="BN50" s="241" t="str">
        <f t="shared" si="2"/>
        <v>нд</v>
      </c>
      <c r="BO50" s="241" t="str">
        <f t="shared" si="2"/>
        <v>нд</v>
      </c>
      <c r="BP50" s="241" t="str">
        <f t="shared" si="3"/>
        <v>нд</v>
      </c>
      <c r="BQ50" s="241" t="str">
        <f t="shared" si="3"/>
        <v>нд</v>
      </c>
      <c r="BR50" s="241" t="str">
        <f t="shared" si="3"/>
        <v>нд</v>
      </c>
      <c r="BS50" s="241" t="str">
        <f t="shared" si="3"/>
        <v>нд</v>
      </c>
      <c r="BT50" s="241" t="str">
        <f t="shared" si="3"/>
        <v>нд</v>
      </c>
      <c r="BU50" s="241">
        <f t="shared" si="3"/>
        <v>2658</v>
      </c>
      <c r="BV50" s="241" t="str">
        <f t="shared" si="3"/>
        <v>нд</v>
      </c>
      <c r="BW50" s="241" t="str">
        <f t="shared" si="3"/>
        <v>нд</v>
      </c>
      <c r="BX50" s="241" t="str">
        <f t="shared" si="3"/>
        <v>нд</v>
      </c>
      <c r="BY50" s="241" t="str">
        <f t="shared" si="3"/>
        <v>нд</v>
      </c>
      <c r="BZ50" s="241" t="str">
        <f t="shared" si="3"/>
        <v>нд</v>
      </c>
      <c r="CA50" s="241" t="str">
        <f t="shared" si="3"/>
        <v>нд</v>
      </c>
      <c r="CB50" s="241" t="str">
        <f t="shared" si="3"/>
        <v>нд</v>
      </c>
      <c r="CC50" s="241" t="str">
        <f t="shared" si="3"/>
        <v>нд</v>
      </c>
      <c r="CD50" s="241" t="str">
        <f t="shared" si="3"/>
        <v>нд</v>
      </c>
      <c r="CE50" s="241" t="str">
        <f t="shared" si="3"/>
        <v>нд</v>
      </c>
      <c r="CF50" s="241" t="str">
        <f t="shared" si="3"/>
        <v>нд</v>
      </c>
      <c r="CG50" s="241" t="str">
        <f t="shared" si="3"/>
        <v>нд</v>
      </c>
      <c r="CH50" s="241" t="str">
        <f t="shared" si="3"/>
        <v>нд</v>
      </c>
      <c r="CI50" s="241">
        <f t="shared" si="3"/>
        <v>2941</v>
      </c>
      <c r="CJ50" s="241" t="str">
        <f t="shared" si="3"/>
        <v>нд</v>
      </c>
      <c r="CK50" s="241" t="str">
        <f t="shared" si="3"/>
        <v>нд</v>
      </c>
      <c r="CL50" s="241" t="str">
        <f t="shared" si="3"/>
        <v>нд</v>
      </c>
      <c r="CM50" s="241" t="str">
        <f t="shared" si="3"/>
        <v>нд</v>
      </c>
      <c r="CN50" s="241" t="str">
        <f t="shared" si="3"/>
        <v>нд</v>
      </c>
      <c r="CO50" s="241" t="str">
        <f t="shared" si="3"/>
        <v>нд</v>
      </c>
      <c r="CP50" s="241" t="str">
        <f t="shared" si="3"/>
        <v>нд</v>
      </c>
      <c r="CQ50" s="241" t="str">
        <f t="shared" si="3"/>
        <v>нд</v>
      </c>
      <c r="CR50" s="241" t="str">
        <f t="shared" si="3"/>
        <v>нд</v>
      </c>
      <c r="CS50" s="241" t="str">
        <f t="shared" si="3"/>
        <v>нд</v>
      </c>
      <c r="CT50" s="241" t="str">
        <f t="shared" si="3"/>
        <v>нд</v>
      </c>
      <c r="CU50" s="241" t="str">
        <f t="shared" si="3"/>
        <v>нд</v>
      </c>
      <c r="CV50" s="241" t="str">
        <f t="shared" si="3"/>
        <v>нд</v>
      </c>
      <c r="CW50" s="241">
        <f t="shared" si="3"/>
        <v>2824</v>
      </c>
      <c r="CX50" s="241" t="str">
        <f t="shared" si="3"/>
        <v>нд</v>
      </c>
      <c r="CY50" s="241" t="str">
        <f t="shared" si="3"/>
        <v>нд</v>
      </c>
      <c r="CZ50" s="241" t="str">
        <f t="shared" si="3"/>
        <v>нд</v>
      </c>
      <c r="DA50" s="241" t="str">
        <f t="shared" si="3"/>
        <v>нд</v>
      </c>
      <c r="DB50" s="241" t="str">
        <f t="shared" si="3"/>
        <v>нд</v>
      </c>
      <c r="DC50" s="241" t="str">
        <f t="shared" si="3"/>
        <v>нд</v>
      </c>
      <c r="DD50" s="241">
        <v>11185</v>
      </c>
      <c r="DE50" s="241" t="str">
        <f t="shared" si="3"/>
        <v>нд</v>
      </c>
      <c r="DF50" s="241" t="str">
        <f t="shared" si="3"/>
        <v>нд</v>
      </c>
      <c r="DG50" s="241" t="str">
        <f t="shared" si="3"/>
        <v>нд</v>
      </c>
      <c r="DH50" s="241" t="str">
        <f t="shared" si="3"/>
        <v>нд</v>
      </c>
      <c r="DI50" s="241" t="str">
        <f t="shared" si="3"/>
        <v>нд</v>
      </c>
      <c r="DJ50" s="241" t="str">
        <f t="shared" si="3"/>
        <v>нд</v>
      </c>
      <c r="DK50" s="241">
        <v>11185</v>
      </c>
      <c r="DL50" s="245"/>
    </row>
    <row r="51" spans="1:116" s="539" customFormat="1" ht="35.25" customHeight="1" x14ac:dyDescent="0.25">
      <c r="A51" s="551" t="s">
        <v>947</v>
      </c>
      <c r="B51" s="923" t="s">
        <v>948</v>
      </c>
      <c r="C51" s="911" t="s">
        <v>1056</v>
      </c>
      <c r="D51" s="241" t="s">
        <v>621</v>
      </c>
      <c r="E51" s="241" t="s">
        <v>621</v>
      </c>
      <c r="F51" s="241" t="s">
        <v>621</v>
      </c>
      <c r="G51" s="241" t="s">
        <v>621</v>
      </c>
      <c r="H51" s="241" t="s">
        <v>621</v>
      </c>
      <c r="I51" s="241" t="s">
        <v>621</v>
      </c>
      <c r="J51" s="241">
        <v>11185</v>
      </c>
      <c r="K51" s="241" t="s">
        <v>621</v>
      </c>
      <c r="L51" s="241" t="s">
        <v>621</v>
      </c>
      <c r="M51" s="241" t="s">
        <v>621</v>
      </c>
      <c r="N51" s="241" t="s">
        <v>621</v>
      </c>
      <c r="O51" s="241" t="s">
        <v>621</v>
      </c>
      <c r="P51" s="241" t="s">
        <v>621</v>
      </c>
      <c r="Q51" s="241">
        <f>'4'!CY52</f>
        <v>11185</v>
      </c>
      <c r="R51" s="911" t="s">
        <v>621</v>
      </c>
      <c r="S51" s="241" t="s">
        <v>621</v>
      </c>
      <c r="T51" s="241" t="s">
        <v>621</v>
      </c>
      <c r="U51" s="241" t="s">
        <v>621</v>
      </c>
      <c r="V51" s="241" t="s">
        <v>621</v>
      </c>
      <c r="W51" s="241" t="s">
        <v>621</v>
      </c>
      <c r="X51" s="241" t="s">
        <v>621</v>
      </c>
      <c r="Y51" s="241" t="s">
        <v>621</v>
      </c>
      <c r="Z51" s="241" t="s">
        <v>621</v>
      </c>
      <c r="AA51" s="241" t="s">
        <v>621</v>
      </c>
      <c r="AB51" s="241" t="s">
        <v>621</v>
      </c>
      <c r="AC51" s="241" t="s">
        <v>621</v>
      </c>
      <c r="AD51" s="241" t="s">
        <v>621</v>
      </c>
      <c r="AE51" s="241" t="s">
        <v>621</v>
      </c>
      <c r="AF51" s="241" t="s">
        <v>621</v>
      </c>
      <c r="AG51" s="241" t="s">
        <v>621</v>
      </c>
      <c r="AH51" s="241" t="s">
        <v>621</v>
      </c>
      <c r="AI51" s="241" t="s">
        <v>621</v>
      </c>
      <c r="AJ51" s="241" t="s">
        <v>621</v>
      </c>
      <c r="AK51" s="241" t="s">
        <v>621</v>
      </c>
      <c r="AL51" s="241" t="s">
        <v>621</v>
      </c>
      <c r="AM51" s="241" t="s">
        <v>621</v>
      </c>
      <c r="AN51" s="241" t="s">
        <v>621</v>
      </c>
      <c r="AO51" s="241" t="s">
        <v>621</v>
      </c>
      <c r="AP51" s="241" t="s">
        <v>621</v>
      </c>
      <c r="AQ51" s="241" t="s">
        <v>621</v>
      </c>
      <c r="AR51" s="241" t="s">
        <v>621</v>
      </c>
      <c r="AS51" s="241" t="str">
        <f>'4'!AG52</f>
        <v>нд</v>
      </c>
      <c r="AT51" s="241" t="s">
        <v>621</v>
      </c>
      <c r="AU51" s="241" t="s">
        <v>621</v>
      </c>
      <c r="AV51" s="241" t="s">
        <v>621</v>
      </c>
      <c r="AW51" s="241" t="s">
        <v>621</v>
      </c>
      <c r="AX51" s="241" t="s">
        <v>621</v>
      </c>
      <c r="AY51" s="241" t="s">
        <v>621</v>
      </c>
      <c r="AZ51" s="241">
        <v>2762</v>
      </c>
      <c r="BA51" s="241" t="s">
        <v>621</v>
      </c>
      <c r="BB51" s="241" t="s">
        <v>621</v>
      </c>
      <c r="BC51" s="241" t="s">
        <v>621</v>
      </c>
      <c r="BD51" s="241" t="s">
        <v>621</v>
      </c>
      <c r="BE51" s="241" t="s">
        <v>621</v>
      </c>
      <c r="BF51" s="241" t="s">
        <v>621</v>
      </c>
      <c r="BG51" s="241">
        <f>'4'!AU52</f>
        <v>2762</v>
      </c>
      <c r="BH51" s="241" t="s">
        <v>621</v>
      </c>
      <c r="BI51" s="241" t="s">
        <v>621</v>
      </c>
      <c r="BJ51" s="241" t="s">
        <v>621</v>
      </c>
      <c r="BK51" s="241" t="s">
        <v>621</v>
      </c>
      <c r="BL51" s="241" t="s">
        <v>621</v>
      </c>
      <c r="BM51" s="241" t="s">
        <v>621</v>
      </c>
      <c r="BN51" s="241" t="s">
        <v>621</v>
      </c>
      <c r="BO51" s="241" t="s">
        <v>621</v>
      </c>
      <c r="BP51" s="241" t="s">
        <v>621</v>
      </c>
      <c r="BQ51" s="241" t="s">
        <v>621</v>
      </c>
      <c r="BR51" s="241" t="s">
        <v>621</v>
      </c>
      <c r="BS51" s="241" t="s">
        <v>621</v>
      </c>
      <c r="BT51" s="241" t="s">
        <v>621</v>
      </c>
      <c r="BU51" s="241">
        <f>'4'!BI52</f>
        <v>2658</v>
      </c>
      <c r="BV51" s="241" t="s">
        <v>621</v>
      </c>
      <c r="BW51" s="241" t="s">
        <v>621</v>
      </c>
      <c r="BX51" s="241" t="s">
        <v>621</v>
      </c>
      <c r="BY51" s="241" t="s">
        <v>621</v>
      </c>
      <c r="BZ51" s="241" t="s">
        <v>621</v>
      </c>
      <c r="CA51" s="241" t="s">
        <v>621</v>
      </c>
      <c r="CB51" s="241" t="s">
        <v>621</v>
      </c>
      <c r="CC51" s="241" t="s">
        <v>621</v>
      </c>
      <c r="CD51" s="241" t="s">
        <v>621</v>
      </c>
      <c r="CE51" s="241" t="s">
        <v>621</v>
      </c>
      <c r="CF51" s="241" t="s">
        <v>621</v>
      </c>
      <c r="CG51" s="241" t="s">
        <v>621</v>
      </c>
      <c r="CH51" s="241" t="s">
        <v>621</v>
      </c>
      <c r="CI51" s="241">
        <f>'4'!BW52</f>
        <v>2941</v>
      </c>
      <c r="CJ51" s="241" t="s">
        <v>621</v>
      </c>
      <c r="CK51" s="241" t="s">
        <v>621</v>
      </c>
      <c r="CL51" s="241" t="s">
        <v>621</v>
      </c>
      <c r="CM51" s="241" t="s">
        <v>621</v>
      </c>
      <c r="CN51" s="241" t="s">
        <v>621</v>
      </c>
      <c r="CO51" s="241" t="s">
        <v>621</v>
      </c>
      <c r="CP51" s="241" t="s">
        <v>621</v>
      </c>
      <c r="CQ51" s="241" t="s">
        <v>621</v>
      </c>
      <c r="CR51" s="241" t="s">
        <v>621</v>
      </c>
      <c r="CS51" s="241" t="s">
        <v>621</v>
      </c>
      <c r="CT51" s="241" t="s">
        <v>621</v>
      </c>
      <c r="CU51" s="241" t="s">
        <v>621</v>
      </c>
      <c r="CV51" s="241" t="s">
        <v>621</v>
      </c>
      <c r="CW51" s="241">
        <f>'4'!CK52</f>
        <v>2824</v>
      </c>
      <c r="CX51" s="241" t="s">
        <v>621</v>
      </c>
      <c r="CY51" s="241" t="s">
        <v>621</v>
      </c>
      <c r="CZ51" s="241" t="s">
        <v>621</v>
      </c>
      <c r="DA51" s="241" t="s">
        <v>621</v>
      </c>
      <c r="DB51" s="241" t="s">
        <v>621</v>
      </c>
      <c r="DC51" s="241" t="s">
        <v>621</v>
      </c>
      <c r="DD51" s="241">
        <v>11185</v>
      </c>
      <c r="DE51" s="241" t="s">
        <v>621</v>
      </c>
      <c r="DF51" s="241" t="s">
        <v>621</v>
      </c>
      <c r="DG51" s="241" t="s">
        <v>621</v>
      </c>
      <c r="DH51" s="241" t="s">
        <v>621</v>
      </c>
      <c r="DI51" s="241" t="s">
        <v>621</v>
      </c>
      <c r="DJ51" s="241" t="s">
        <v>621</v>
      </c>
      <c r="DK51" s="241">
        <v>11185</v>
      </c>
      <c r="DL51" s="245"/>
    </row>
    <row r="52" spans="1:116" s="304" customFormat="1" ht="60.75" x14ac:dyDescent="0.25">
      <c r="A52" s="157" t="s">
        <v>547</v>
      </c>
      <c r="B52" s="301" t="s">
        <v>705</v>
      </c>
      <c r="C52" s="306" t="s">
        <v>621</v>
      </c>
      <c r="D52" s="302">
        <f>D53</f>
        <v>11.33</v>
      </c>
      <c r="E52" s="302" t="s">
        <v>621</v>
      </c>
      <c r="F52" s="302" t="s">
        <v>621</v>
      </c>
      <c r="G52" s="302" t="s">
        <v>621</v>
      </c>
      <c r="H52" s="307" t="s">
        <v>621</v>
      </c>
      <c r="I52" s="302" t="s">
        <v>621</v>
      </c>
      <c r="J52" s="302">
        <v>120</v>
      </c>
      <c r="K52" s="302">
        <f>K53</f>
        <v>13.33</v>
      </c>
      <c r="L52" s="302" t="s">
        <v>621</v>
      </c>
      <c r="M52" s="302" t="s">
        <v>621</v>
      </c>
      <c r="N52" s="302" t="s">
        <v>621</v>
      </c>
      <c r="O52" s="302" t="s">
        <v>621</v>
      </c>
      <c r="P52" s="302" t="s">
        <v>621</v>
      </c>
      <c r="Q52" s="302">
        <f>Q53</f>
        <v>120</v>
      </c>
      <c r="R52" s="302" t="s">
        <v>621</v>
      </c>
      <c r="S52" s="302" t="s">
        <v>621</v>
      </c>
      <c r="T52" s="302" t="s">
        <v>621</v>
      </c>
      <c r="U52" s="302" t="s">
        <v>621</v>
      </c>
      <c r="V52" s="302" t="s">
        <v>621</v>
      </c>
      <c r="W52" s="302" t="s">
        <v>621</v>
      </c>
      <c r="X52" s="302" t="s">
        <v>621</v>
      </c>
      <c r="Y52" s="302" t="s">
        <v>621</v>
      </c>
      <c r="Z52" s="302" t="s">
        <v>621</v>
      </c>
      <c r="AA52" s="302" t="s">
        <v>621</v>
      </c>
      <c r="AB52" s="302" t="s">
        <v>621</v>
      </c>
      <c r="AC52" s="302" t="s">
        <v>621</v>
      </c>
      <c r="AD52" s="302" t="s">
        <v>621</v>
      </c>
      <c r="AE52" s="302" t="s">
        <v>621</v>
      </c>
      <c r="AF52" s="302">
        <f>AF53</f>
        <v>1.6</v>
      </c>
      <c r="AG52" s="302" t="s">
        <v>621</v>
      </c>
      <c r="AH52" s="302" t="s">
        <v>621</v>
      </c>
      <c r="AI52" s="302" t="s">
        <v>621</v>
      </c>
      <c r="AJ52" s="307" t="s">
        <v>621</v>
      </c>
      <c r="AK52" s="302" t="s">
        <v>621</v>
      </c>
      <c r="AL52" s="302">
        <f>AL53</f>
        <v>28</v>
      </c>
      <c r="AM52" s="302">
        <v>1.6</v>
      </c>
      <c r="AN52" s="302" t="s">
        <v>621</v>
      </c>
      <c r="AO52" s="302" t="s">
        <v>621</v>
      </c>
      <c r="AP52" s="302" t="s">
        <v>621</v>
      </c>
      <c r="AQ52" s="302" t="s">
        <v>621</v>
      </c>
      <c r="AR52" s="302" t="s">
        <v>621</v>
      </c>
      <c r="AS52" s="302">
        <v>28</v>
      </c>
      <c r="AT52" s="302">
        <f>AT53</f>
        <v>0.8</v>
      </c>
      <c r="AU52" s="302" t="s">
        <v>621</v>
      </c>
      <c r="AV52" s="302" t="s">
        <v>621</v>
      </c>
      <c r="AW52" s="302" t="s">
        <v>621</v>
      </c>
      <c r="AX52" s="302" t="s">
        <v>621</v>
      </c>
      <c r="AY52" s="302" t="s">
        <v>621</v>
      </c>
      <c r="AZ52" s="302">
        <v>15</v>
      </c>
      <c r="BA52" s="302">
        <f>BA53</f>
        <v>0.8</v>
      </c>
      <c r="BB52" s="302" t="s">
        <v>621</v>
      </c>
      <c r="BC52" s="302" t="s">
        <v>621</v>
      </c>
      <c r="BD52" s="302" t="s">
        <v>621</v>
      </c>
      <c r="BE52" s="302" t="s">
        <v>621</v>
      </c>
      <c r="BF52" s="302" t="s">
        <v>621</v>
      </c>
      <c r="BG52" s="302">
        <f>BG53</f>
        <v>18</v>
      </c>
      <c r="BH52" s="302">
        <f>BH53</f>
        <v>2.06</v>
      </c>
      <c r="BI52" s="302" t="s">
        <v>621</v>
      </c>
      <c r="BJ52" s="302" t="s">
        <v>621</v>
      </c>
      <c r="BK52" s="302" t="s">
        <v>621</v>
      </c>
      <c r="BL52" s="302" t="s">
        <v>621</v>
      </c>
      <c r="BM52" s="302" t="s">
        <v>621</v>
      </c>
      <c r="BN52" s="302">
        <f>BN53</f>
        <v>38</v>
      </c>
      <c r="BO52" s="302">
        <f>BO53</f>
        <v>1.26</v>
      </c>
      <c r="BP52" s="302" t="s">
        <v>621</v>
      </c>
      <c r="BQ52" s="302" t="s">
        <v>621</v>
      </c>
      <c r="BR52" s="302" t="s">
        <v>621</v>
      </c>
      <c r="BS52" s="302" t="s">
        <v>621</v>
      </c>
      <c r="BT52" s="302" t="s">
        <v>621</v>
      </c>
      <c r="BU52" s="302">
        <f>BU53</f>
        <v>42</v>
      </c>
      <c r="BV52" s="302">
        <f>BV53</f>
        <v>6.87</v>
      </c>
      <c r="BW52" s="302" t="s">
        <v>621</v>
      </c>
      <c r="BX52" s="302" t="s">
        <v>621</v>
      </c>
      <c r="BY52" s="302" t="s">
        <v>621</v>
      </c>
      <c r="BZ52" s="302" t="s">
        <v>621</v>
      </c>
      <c r="CA52" s="302" t="s">
        <v>621</v>
      </c>
      <c r="CB52" s="302" t="s">
        <v>621</v>
      </c>
      <c r="CC52" s="302">
        <f>CC53</f>
        <v>6.87</v>
      </c>
      <c r="CD52" s="302" t="s">
        <v>621</v>
      </c>
      <c r="CE52" s="302" t="s">
        <v>621</v>
      </c>
      <c r="CF52" s="302" t="s">
        <v>621</v>
      </c>
      <c r="CG52" s="302" t="s">
        <v>621</v>
      </c>
      <c r="CH52" s="302" t="s">
        <v>621</v>
      </c>
      <c r="CI52" s="302" t="s">
        <v>621</v>
      </c>
      <c r="CJ52" s="302" t="s">
        <v>621</v>
      </c>
      <c r="CK52" s="302" t="s">
        <v>621</v>
      </c>
      <c r="CL52" s="302" t="s">
        <v>621</v>
      </c>
      <c r="CM52" s="302" t="s">
        <v>621</v>
      </c>
      <c r="CN52" s="302" t="s">
        <v>621</v>
      </c>
      <c r="CO52" s="302" t="s">
        <v>621</v>
      </c>
      <c r="CP52" s="302">
        <f>CP53</f>
        <v>36</v>
      </c>
      <c r="CQ52" s="302" t="s">
        <v>621</v>
      </c>
      <c r="CR52" s="302" t="s">
        <v>621</v>
      </c>
      <c r="CS52" s="302" t="s">
        <v>621</v>
      </c>
      <c r="CT52" s="302" t="s">
        <v>621</v>
      </c>
      <c r="CU52" s="302" t="s">
        <v>621</v>
      </c>
      <c r="CV52" s="302" t="s">
        <v>621</v>
      </c>
      <c r="CW52" s="302">
        <f>CW53</f>
        <v>36</v>
      </c>
      <c r="CX52" s="302">
        <f>CX53</f>
        <v>11.33</v>
      </c>
      <c r="CY52" s="302" t="s">
        <v>621</v>
      </c>
      <c r="CZ52" s="302" t="s">
        <v>621</v>
      </c>
      <c r="DA52" s="302" t="s">
        <v>621</v>
      </c>
      <c r="DB52" s="307" t="s">
        <v>621</v>
      </c>
      <c r="DC52" s="302" t="s">
        <v>621</v>
      </c>
      <c r="DD52" s="302">
        <v>120</v>
      </c>
      <c r="DE52" s="302">
        <f>DE53</f>
        <v>12.59</v>
      </c>
      <c r="DF52" s="302" t="s">
        <v>621</v>
      </c>
      <c r="DG52" s="302" t="s">
        <v>621</v>
      </c>
      <c r="DH52" s="302" t="s">
        <v>621</v>
      </c>
      <c r="DI52" s="302" t="s">
        <v>621</v>
      </c>
      <c r="DJ52" s="302" t="s">
        <v>621</v>
      </c>
      <c r="DK52" s="302">
        <f>CW52+BU52+BG52+AS52</f>
        <v>124</v>
      </c>
      <c r="DL52" s="302"/>
    </row>
    <row r="53" spans="1:116" s="304" customFormat="1" ht="42.75" customHeight="1" x14ac:dyDescent="0.25">
      <c r="A53" s="157" t="s">
        <v>604</v>
      </c>
      <c r="B53" s="301" t="s">
        <v>707</v>
      </c>
      <c r="C53" s="306" t="s">
        <v>621</v>
      </c>
      <c r="D53" s="302">
        <f>SUM(D54:D70)</f>
        <v>11.33</v>
      </c>
      <c r="E53" s="302" t="s">
        <v>621</v>
      </c>
      <c r="F53" s="302" t="s">
        <v>621</v>
      </c>
      <c r="G53" s="302" t="s">
        <v>621</v>
      </c>
      <c r="H53" s="307" t="s">
        <v>621</v>
      </c>
      <c r="I53" s="302" t="s">
        <v>621</v>
      </c>
      <c r="J53" s="302">
        <v>120</v>
      </c>
      <c r="K53" s="302">
        <f>SUM(K54:K71)</f>
        <v>13.33</v>
      </c>
      <c r="L53" s="302" t="s">
        <v>621</v>
      </c>
      <c r="M53" s="302" t="s">
        <v>621</v>
      </c>
      <c r="N53" s="302" t="s">
        <v>621</v>
      </c>
      <c r="O53" s="302" t="s">
        <v>621</v>
      </c>
      <c r="P53" s="302" t="s">
        <v>621</v>
      </c>
      <c r="Q53" s="302">
        <f>SUM(Q54:Q70)</f>
        <v>120</v>
      </c>
      <c r="R53" s="302" t="s">
        <v>621</v>
      </c>
      <c r="S53" s="302" t="s">
        <v>621</v>
      </c>
      <c r="T53" s="302" t="s">
        <v>621</v>
      </c>
      <c r="U53" s="302" t="s">
        <v>621</v>
      </c>
      <c r="V53" s="302" t="s">
        <v>621</v>
      </c>
      <c r="W53" s="302" t="s">
        <v>621</v>
      </c>
      <c r="X53" s="302" t="s">
        <v>621</v>
      </c>
      <c r="Y53" s="302" t="s">
        <v>621</v>
      </c>
      <c r="Z53" s="302" t="s">
        <v>621</v>
      </c>
      <c r="AA53" s="302" t="s">
        <v>621</v>
      </c>
      <c r="AB53" s="302" t="s">
        <v>621</v>
      </c>
      <c r="AC53" s="302" t="s">
        <v>621</v>
      </c>
      <c r="AD53" s="302" t="s">
        <v>621</v>
      </c>
      <c r="AE53" s="302" t="s">
        <v>621</v>
      </c>
      <c r="AF53" s="302">
        <f>SUM(AF54:AF70)</f>
        <v>1.6</v>
      </c>
      <c r="AG53" s="302" t="s">
        <v>621</v>
      </c>
      <c r="AH53" s="302" t="s">
        <v>621</v>
      </c>
      <c r="AI53" s="302" t="s">
        <v>621</v>
      </c>
      <c r="AJ53" s="307" t="s">
        <v>621</v>
      </c>
      <c r="AK53" s="302" t="s">
        <v>621</v>
      </c>
      <c r="AL53" s="302">
        <f>SUM(AL54:AL70)</f>
        <v>28</v>
      </c>
      <c r="AM53" s="302">
        <v>1.6</v>
      </c>
      <c r="AN53" s="302" t="s">
        <v>621</v>
      </c>
      <c r="AO53" s="302" t="s">
        <v>621</v>
      </c>
      <c r="AP53" s="302" t="s">
        <v>621</v>
      </c>
      <c r="AQ53" s="302" t="s">
        <v>621</v>
      </c>
      <c r="AR53" s="302" t="s">
        <v>621</v>
      </c>
      <c r="AS53" s="302">
        <v>28</v>
      </c>
      <c r="AT53" s="302">
        <f>SUM(AT54:AT70)</f>
        <v>0.8</v>
      </c>
      <c r="AU53" s="302" t="s">
        <v>621</v>
      </c>
      <c r="AV53" s="302" t="s">
        <v>621</v>
      </c>
      <c r="AW53" s="302" t="s">
        <v>621</v>
      </c>
      <c r="AX53" s="302" t="s">
        <v>621</v>
      </c>
      <c r="AY53" s="302" t="s">
        <v>621</v>
      </c>
      <c r="AZ53" s="302">
        <v>15</v>
      </c>
      <c r="BA53" s="302">
        <f>SUM(BA54:BA71)</f>
        <v>0.8</v>
      </c>
      <c r="BB53" s="302" t="s">
        <v>621</v>
      </c>
      <c r="BC53" s="302" t="s">
        <v>621</v>
      </c>
      <c r="BD53" s="302" t="s">
        <v>621</v>
      </c>
      <c r="BE53" s="302" t="s">
        <v>621</v>
      </c>
      <c r="BF53" s="302" t="s">
        <v>621</v>
      </c>
      <c r="BG53" s="302">
        <f>SUM(BG54:BG70)</f>
        <v>18</v>
      </c>
      <c r="BH53" s="302">
        <f>SUM(BH54:BH70)</f>
        <v>2.06</v>
      </c>
      <c r="BI53" s="302" t="s">
        <v>621</v>
      </c>
      <c r="BJ53" s="302" t="s">
        <v>621</v>
      </c>
      <c r="BK53" s="302" t="s">
        <v>621</v>
      </c>
      <c r="BL53" s="302" t="s">
        <v>621</v>
      </c>
      <c r="BM53" s="302" t="s">
        <v>621</v>
      </c>
      <c r="BN53" s="302">
        <f>SUM(BN54:BN70)</f>
        <v>38</v>
      </c>
      <c r="BO53" s="302">
        <f>SUM(BO54:BO72)</f>
        <v>1.26</v>
      </c>
      <c r="BP53" s="302" t="s">
        <v>621</v>
      </c>
      <c r="BQ53" s="302" t="s">
        <v>621</v>
      </c>
      <c r="BR53" s="302" t="s">
        <v>621</v>
      </c>
      <c r="BS53" s="302" t="s">
        <v>621</v>
      </c>
      <c r="BT53" s="302" t="s">
        <v>621</v>
      </c>
      <c r="BU53" s="302">
        <f>SUM(BU54:BU72)</f>
        <v>42</v>
      </c>
      <c r="BV53" s="302">
        <f>SUM(BV54:BV70)</f>
        <v>6.87</v>
      </c>
      <c r="BW53" s="302" t="s">
        <v>621</v>
      </c>
      <c r="BX53" s="302" t="s">
        <v>621</v>
      </c>
      <c r="BY53" s="302" t="s">
        <v>621</v>
      </c>
      <c r="BZ53" s="302" t="s">
        <v>621</v>
      </c>
      <c r="CA53" s="302" t="s">
        <v>621</v>
      </c>
      <c r="CB53" s="302" t="s">
        <v>621</v>
      </c>
      <c r="CC53" s="302">
        <f>SUM(CC54:CC70)</f>
        <v>6.87</v>
      </c>
      <c r="CD53" s="302" t="s">
        <v>621</v>
      </c>
      <c r="CE53" s="302" t="s">
        <v>621</v>
      </c>
      <c r="CF53" s="302" t="s">
        <v>621</v>
      </c>
      <c r="CG53" s="302" t="s">
        <v>621</v>
      </c>
      <c r="CH53" s="302" t="s">
        <v>621</v>
      </c>
      <c r="CI53" s="302" t="s">
        <v>621</v>
      </c>
      <c r="CJ53" s="302" t="s">
        <v>621</v>
      </c>
      <c r="CK53" s="302" t="s">
        <v>621</v>
      </c>
      <c r="CL53" s="302" t="s">
        <v>621</v>
      </c>
      <c r="CM53" s="302" t="s">
        <v>621</v>
      </c>
      <c r="CN53" s="302" t="s">
        <v>621</v>
      </c>
      <c r="CO53" s="302" t="s">
        <v>621</v>
      </c>
      <c r="CP53" s="302">
        <f>SUM(CP54:CP70)</f>
        <v>36</v>
      </c>
      <c r="CQ53" s="302" t="s">
        <v>621</v>
      </c>
      <c r="CR53" s="302" t="s">
        <v>621</v>
      </c>
      <c r="CS53" s="302" t="s">
        <v>621</v>
      </c>
      <c r="CT53" s="302" t="s">
        <v>621</v>
      </c>
      <c r="CU53" s="302" t="s">
        <v>621</v>
      </c>
      <c r="CV53" s="302" t="s">
        <v>621</v>
      </c>
      <c r="CW53" s="302">
        <f>SUM(CW54:CW70)</f>
        <v>36</v>
      </c>
      <c r="CX53" s="302">
        <f>SUM(CX54:CX70)</f>
        <v>11.33</v>
      </c>
      <c r="CY53" s="302" t="s">
        <v>621</v>
      </c>
      <c r="CZ53" s="302" t="s">
        <v>621</v>
      </c>
      <c r="DA53" s="302" t="s">
        <v>621</v>
      </c>
      <c r="DB53" s="307" t="s">
        <v>621</v>
      </c>
      <c r="DC53" s="302" t="s">
        <v>621</v>
      </c>
      <c r="DD53" s="302">
        <v>120</v>
      </c>
      <c r="DE53" s="302">
        <f>SUM(DE54:DE72)</f>
        <v>12.59</v>
      </c>
      <c r="DF53" s="302" t="s">
        <v>621</v>
      </c>
      <c r="DG53" s="302" t="s">
        <v>621</v>
      </c>
      <c r="DH53" s="302" t="s">
        <v>621</v>
      </c>
      <c r="DI53" s="302" t="s">
        <v>621</v>
      </c>
      <c r="DJ53" s="302" t="s">
        <v>621</v>
      </c>
      <c r="DK53" s="302">
        <f>SUM(DK54:DK72)</f>
        <v>124</v>
      </c>
      <c r="DL53" s="302"/>
    </row>
    <row r="54" spans="1:116" s="340" customFormat="1" ht="30.75" x14ac:dyDescent="0.25">
      <c r="A54" s="153" t="s">
        <v>885</v>
      </c>
      <c r="B54" s="908" t="s">
        <v>860</v>
      </c>
      <c r="C54" s="911" t="s">
        <v>1057</v>
      </c>
      <c r="D54" s="245">
        <f>'4'!CN55</f>
        <v>0.8</v>
      </c>
      <c r="E54" s="245" t="s">
        <v>621</v>
      </c>
      <c r="F54" s="245" t="s">
        <v>621</v>
      </c>
      <c r="G54" s="245" t="s">
        <v>621</v>
      </c>
      <c r="H54" s="256" t="s">
        <v>621</v>
      </c>
      <c r="I54" s="245" t="s">
        <v>621</v>
      </c>
      <c r="J54" s="245">
        <v>0</v>
      </c>
      <c r="K54" s="245">
        <v>0.8</v>
      </c>
      <c r="L54" s="245" t="s">
        <v>621</v>
      </c>
      <c r="M54" s="245" t="s">
        <v>621</v>
      </c>
      <c r="N54" s="245" t="s">
        <v>621</v>
      </c>
      <c r="O54" s="245" t="s">
        <v>621</v>
      </c>
      <c r="P54" s="245" t="s">
        <v>621</v>
      </c>
      <c r="Q54" s="245">
        <v>0</v>
      </c>
      <c r="R54" s="245" t="s">
        <v>621</v>
      </c>
      <c r="S54" s="245" t="s">
        <v>621</v>
      </c>
      <c r="T54" s="245" t="s">
        <v>621</v>
      </c>
      <c r="U54" s="245" t="s">
        <v>621</v>
      </c>
      <c r="V54" s="245" t="s">
        <v>621</v>
      </c>
      <c r="W54" s="245" t="s">
        <v>621</v>
      </c>
      <c r="X54" s="245" t="s">
        <v>621</v>
      </c>
      <c r="Y54" s="245" t="s">
        <v>621</v>
      </c>
      <c r="Z54" s="245" t="s">
        <v>621</v>
      </c>
      <c r="AA54" s="245" t="s">
        <v>621</v>
      </c>
      <c r="AB54" s="245" t="s">
        <v>621</v>
      </c>
      <c r="AC54" s="245" t="s">
        <v>621</v>
      </c>
      <c r="AD54" s="245" t="s">
        <v>621</v>
      </c>
      <c r="AE54" s="245" t="s">
        <v>621</v>
      </c>
      <c r="AF54" s="245">
        <f>'4'!V55</f>
        <v>0.8</v>
      </c>
      <c r="AG54" s="245" t="s">
        <v>621</v>
      </c>
      <c r="AH54" s="245" t="s">
        <v>621</v>
      </c>
      <c r="AI54" s="245" t="s">
        <v>621</v>
      </c>
      <c r="AJ54" s="256" t="s">
        <v>621</v>
      </c>
      <c r="AK54" s="245" t="s">
        <v>621</v>
      </c>
      <c r="AL54" s="245">
        <v>0</v>
      </c>
      <c r="AM54" s="245">
        <v>0.8</v>
      </c>
      <c r="AN54" s="245" t="s">
        <v>621</v>
      </c>
      <c r="AO54" s="245" t="s">
        <v>621</v>
      </c>
      <c r="AP54" s="245" t="s">
        <v>621</v>
      </c>
      <c r="AQ54" s="245" t="s">
        <v>621</v>
      </c>
      <c r="AR54" s="245" t="s">
        <v>621</v>
      </c>
      <c r="AS54" s="245">
        <v>0</v>
      </c>
      <c r="AT54" s="245">
        <v>0</v>
      </c>
      <c r="AU54" s="245" t="s">
        <v>621</v>
      </c>
      <c r="AV54" s="245" t="s">
        <v>621</v>
      </c>
      <c r="AW54" s="245" t="s">
        <v>621</v>
      </c>
      <c r="AX54" s="245" t="s">
        <v>621</v>
      </c>
      <c r="AY54" s="245" t="s">
        <v>621</v>
      </c>
      <c r="AZ54" s="245">
        <v>0</v>
      </c>
      <c r="BA54" s="245">
        <v>0</v>
      </c>
      <c r="BB54" s="245" t="s">
        <v>621</v>
      </c>
      <c r="BC54" s="245" t="s">
        <v>621</v>
      </c>
      <c r="BD54" s="245" t="s">
        <v>621</v>
      </c>
      <c r="BE54" s="245" t="s">
        <v>621</v>
      </c>
      <c r="BF54" s="245" t="s">
        <v>621</v>
      </c>
      <c r="BG54" s="245">
        <v>0</v>
      </c>
      <c r="BH54" s="245">
        <v>0</v>
      </c>
      <c r="BI54" s="245" t="s">
        <v>621</v>
      </c>
      <c r="BJ54" s="245" t="s">
        <v>621</v>
      </c>
      <c r="BK54" s="245" t="s">
        <v>621</v>
      </c>
      <c r="BL54" s="245" t="s">
        <v>621</v>
      </c>
      <c r="BM54" s="245" t="s">
        <v>621</v>
      </c>
      <c r="BN54" s="245">
        <v>0</v>
      </c>
      <c r="BO54" s="245">
        <v>0</v>
      </c>
      <c r="BP54" s="245" t="s">
        <v>621</v>
      </c>
      <c r="BQ54" s="245" t="s">
        <v>621</v>
      </c>
      <c r="BR54" s="245" t="s">
        <v>621</v>
      </c>
      <c r="BS54" s="245" t="s">
        <v>621</v>
      </c>
      <c r="BT54" s="245" t="s">
        <v>621</v>
      </c>
      <c r="BU54" s="245">
        <v>0</v>
      </c>
      <c r="BV54" s="245">
        <v>0</v>
      </c>
      <c r="BW54" s="245" t="s">
        <v>621</v>
      </c>
      <c r="BX54" s="245" t="s">
        <v>621</v>
      </c>
      <c r="BY54" s="245" t="s">
        <v>621</v>
      </c>
      <c r="BZ54" s="245" t="s">
        <v>621</v>
      </c>
      <c r="CA54" s="245" t="s">
        <v>621</v>
      </c>
      <c r="CB54" s="245" t="s">
        <v>621</v>
      </c>
      <c r="CC54" s="245">
        <v>0</v>
      </c>
      <c r="CD54" s="245" t="s">
        <v>621</v>
      </c>
      <c r="CE54" s="245" t="s">
        <v>621</v>
      </c>
      <c r="CF54" s="245" t="s">
        <v>621</v>
      </c>
      <c r="CG54" s="245" t="s">
        <v>621</v>
      </c>
      <c r="CH54" s="245" t="s">
        <v>621</v>
      </c>
      <c r="CI54" s="245" t="s">
        <v>621</v>
      </c>
      <c r="CJ54" s="245" t="s">
        <v>621</v>
      </c>
      <c r="CK54" s="245" t="s">
        <v>621</v>
      </c>
      <c r="CL54" s="245" t="s">
        <v>621</v>
      </c>
      <c r="CM54" s="245" t="s">
        <v>621</v>
      </c>
      <c r="CN54" s="245" t="s">
        <v>621</v>
      </c>
      <c r="CO54" s="245" t="s">
        <v>621</v>
      </c>
      <c r="CP54" s="245">
        <v>0</v>
      </c>
      <c r="CQ54" s="245" t="s">
        <v>621</v>
      </c>
      <c r="CR54" s="245" t="s">
        <v>621</v>
      </c>
      <c r="CS54" s="245" t="s">
        <v>621</v>
      </c>
      <c r="CT54" s="245" t="s">
        <v>621</v>
      </c>
      <c r="CU54" s="245" t="s">
        <v>621</v>
      </c>
      <c r="CV54" s="245" t="s">
        <v>621</v>
      </c>
      <c r="CW54" s="245">
        <v>0</v>
      </c>
      <c r="CX54" s="245">
        <f>D54</f>
        <v>0.8</v>
      </c>
      <c r="CY54" s="245" t="s">
        <v>621</v>
      </c>
      <c r="CZ54" s="245" t="s">
        <v>621</v>
      </c>
      <c r="DA54" s="245" t="s">
        <v>621</v>
      </c>
      <c r="DB54" s="256" t="s">
        <v>621</v>
      </c>
      <c r="DC54" s="245" t="s">
        <v>621</v>
      </c>
      <c r="DD54" s="245">
        <v>0</v>
      </c>
      <c r="DE54" s="245">
        <v>0.8</v>
      </c>
      <c r="DF54" s="245" t="s">
        <v>621</v>
      </c>
      <c r="DG54" s="245" t="s">
        <v>621</v>
      </c>
      <c r="DH54" s="245" t="s">
        <v>621</v>
      </c>
      <c r="DI54" s="245" t="s">
        <v>621</v>
      </c>
      <c r="DJ54" s="245" t="s">
        <v>621</v>
      </c>
      <c r="DK54" s="245">
        <v>0</v>
      </c>
      <c r="DL54" s="245"/>
    </row>
    <row r="55" spans="1:116" s="340" customFormat="1" ht="30.75" x14ac:dyDescent="0.25">
      <c r="A55" s="153" t="s">
        <v>886</v>
      </c>
      <c r="B55" s="908" t="s">
        <v>861</v>
      </c>
      <c r="C55" s="911" t="s">
        <v>1058</v>
      </c>
      <c r="D55" s="245">
        <f>'4'!CN56</f>
        <v>0.8</v>
      </c>
      <c r="E55" s="245" t="s">
        <v>621</v>
      </c>
      <c r="F55" s="245" t="s">
        <v>621</v>
      </c>
      <c r="G55" s="245" t="s">
        <v>621</v>
      </c>
      <c r="H55" s="256" t="s">
        <v>621</v>
      </c>
      <c r="I55" s="245" t="s">
        <v>621</v>
      </c>
      <c r="J55" s="245">
        <v>0</v>
      </c>
      <c r="K55" s="245">
        <v>0.8</v>
      </c>
      <c r="L55" s="245" t="s">
        <v>621</v>
      </c>
      <c r="M55" s="245" t="s">
        <v>621</v>
      </c>
      <c r="N55" s="245" t="s">
        <v>621</v>
      </c>
      <c r="O55" s="245" t="s">
        <v>621</v>
      </c>
      <c r="P55" s="245" t="s">
        <v>621</v>
      </c>
      <c r="Q55" s="245">
        <v>0</v>
      </c>
      <c r="R55" s="245" t="s">
        <v>621</v>
      </c>
      <c r="S55" s="245" t="s">
        <v>621</v>
      </c>
      <c r="T55" s="245" t="s">
        <v>621</v>
      </c>
      <c r="U55" s="245" t="s">
        <v>621</v>
      </c>
      <c r="V55" s="245" t="s">
        <v>621</v>
      </c>
      <c r="W55" s="245" t="s">
        <v>621</v>
      </c>
      <c r="X55" s="245" t="s">
        <v>621</v>
      </c>
      <c r="Y55" s="245" t="s">
        <v>621</v>
      </c>
      <c r="Z55" s="245" t="s">
        <v>621</v>
      </c>
      <c r="AA55" s="245" t="s">
        <v>621</v>
      </c>
      <c r="AB55" s="245" t="s">
        <v>621</v>
      </c>
      <c r="AC55" s="245" t="s">
        <v>621</v>
      </c>
      <c r="AD55" s="245" t="s">
        <v>621</v>
      </c>
      <c r="AE55" s="245" t="s">
        <v>621</v>
      </c>
      <c r="AF55" s="245">
        <f>'4'!V56</f>
        <v>0.8</v>
      </c>
      <c r="AG55" s="245" t="s">
        <v>621</v>
      </c>
      <c r="AH55" s="245" t="s">
        <v>621</v>
      </c>
      <c r="AI55" s="245" t="s">
        <v>621</v>
      </c>
      <c r="AJ55" s="256" t="s">
        <v>621</v>
      </c>
      <c r="AK55" s="245" t="s">
        <v>621</v>
      </c>
      <c r="AL55" s="245">
        <v>0</v>
      </c>
      <c r="AM55" s="245">
        <v>0.8</v>
      </c>
      <c r="AN55" s="245" t="s">
        <v>621</v>
      </c>
      <c r="AO55" s="245" t="s">
        <v>621</v>
      </c>
      <c r="AP55" s="245" t="s">
        <v>621</v>
      </c>
      <c r="AQ55" s="245" t="s">
        <v>621</v>
      </c>
      <c r="AR55" s="245" t="s">
        <v>621</v>
      </c>
      <c r="AS55" s="245">
        <v>0</v>
      </c>
      <c r="AT55" s="245">
        <v>0</v>
      </c>
      <c r="AU55" s="245" t="s">
        <v>621</v>
      </c>
      <c r="AV55" s="245" t="s">
        <v>621</v>
      </c>
      <c r="AW55" s="245" t="s">
        <v>621</v>
      </c>
      <c r="AX55" s="245" t="s">
        <v>621</v>
      </c>
      <c r="AY55" s="245" t="s">
        <v>621</v>
      </c>
      <c r="AZ55" s="245">
        <v>0</v>
      </c>
      <c r="BA55" s="245">
        <v>0</v>
      </c>
      <c r="BB55" s="245" t="s">
        <v>621</v>
      </c>
      <c r="BC55" s="245" t="s">
        <v>621</v>
      </c>
      <c r="BD55" s="245" t="s">
        <v>621</v>
      </c>
      <c r="BE55" s="245" t="s">
        <v>621</v>
      </c>
      <c r="BF55" s="245" t="s">
        <v>621</v>
      </c>
      <c r="BG55" s="245">
        <v>0</v>
      </c>
      <c r="BH55" s="245">
        <v>0</v>
      </c>
      <c r="BI55" s="245" t="s">
        <v>621</v>
      </c>
      <c r="BJ55" s="245" t="s">
        <v>621</v>
      </c>
      <c r="BK55" s="245" t="s">
        <v>621</v>
      </c>
      <c r="BL55" s="245" t="s">
        <v>621</v>
      </c>
      <c r="BM55" s="245" t="s">
        <v>621</v>
      </c>
      <c r="BN55" s="245">
        <v>0</v>
      </c>
      <c r="BO55" s="245">
        <v>0</v>
      </c>
      <c r="BP55" s="245" t="s">
        <v>621</v>
      </c>
      <c r="BQ55" s="245" t="s">
        <v>621</v>
      </c>
      <c r="BR55" s="245" t="s">
        <v>621</v>
      </c>
      <c r="BS55" s="245" t="s">
        <v>621</v>
      </c>
      <c r="BT55" s="245" t="s">
        <v>621</v>
      </c>
      <c r="BU55" s="245">
        <v>0</v>
      </c>
      <c r="BV55" s="245">
        <v>0</v>
      </c>
      <c r="BW55" s="245" t="s">
        <v>621</v>
      </c>
      <c r="BX55" s="245" t="s">
        <v>621</v>
      </c>
      <c r="BY55" s="245" t="s">
        <v>621</v>
      </c>
      <c r="BZ55" s="245" t="s">
        <v>621</v>
      </c>
      <c r="CA55" s="245" t="s">
        <v>621</v>
      </c>
      <c r="CB55" s="245" t="s">
        <v>621</v>
      </c>
      <c r="CC55" s="245">
        <v>0</v>
      </c>
      <c r="CD55" s="245" t="s">
        <v>621</v>
      </c>
      <c r="CE55" s="245" t="s">
        <v>621</v>
      </c>
      <c r="CF55" s="245" t="s">
        <v>621</v>
      </c>
      <c r="CG55" s="245" t="s">
        <v>621</v>
      </c>
      <c r="CH55" s="245" t="s">
        <v>621</v>
      </c>
      <c r="CI55" s="245" t="s">
        <v>621</v>
      </c>
      <c r="CJ55" s="245" t="s">
        <v>621</v>
      </c>
      <c r="CK55" s="245" t="s">
        <v>621</v>
      </c>
      <c r="CL55" s="245" t="s">
        <v>621</v>
      </c>
      <c r="CM55" s="245" t="s">
        <v>621</v>
      </c>
      <c r="CN55" s="245" t="s">
        <v>621</v>
      </c>
      <c r="CO55" s="245" t="s">
        <v>621</v>
      </c>
      <c r="CP55" s="245">
        <v>0</v>
      </c>
      <c r="CQ55" s="245" t="s">
        <v>621</v>
      </c>
      <c r="CR55" s="245" t="s">
        <v>621</v>
      </c>
      <c r="CS55" s="245" t="s">
        <v>621</v>
      </c>
      <c r="CT55" s="245" t="s">
        <v>621</v>
      </c>
      <c r="CU55" s="245" t="s">
        <v>621</v>
      </c>
      <c r="CV55" s="245" t="s">
        <v>621</v>
      </c>
      <c r="CW55" s="245">
        <v>0</v>
      </c>
      <c r="CX55" s="245">
        <f t="shared" ref="CX55:CX70" si="4">D55</f>
        <v>0.8</v>
      </c>
      <c r="CY55" s="245" t="s">
        <v>621</v>
      </c>
      <c r="CZ55" s="245" t="s">
        <v>621</v>
      </c>
      <c r="DA55" s="245" t="s">
        <v>621</v>
      </c>
      <c r="DB55" s="256" t="s">
        <v>621</v>
      </c>
      <c r="DC55" s="245" t="s">
        <v>621</v>
      </c>
      <c r="DD55" s="245">
        <v>0</v>
      </c>
      <c r="DE55" s="245">
        <v>0.8</v>
      </c>
      <c r="DF55" s="245" t="s">
        <v>621</v>
      </c>
      <c r="DG55" s="245" t="s">
        <v>621</v>
      </c>
      <c r="DH55" s="245" t="s">
        <v>621</v>
      </c>
      <c r="DI55" s="245" t="s">
        <v>621</v>
      </c>
      <c r="DJ55" s="245" t="s">
        <v>621</v>
      </c>
      <c r="DK55" s="245">
        <v>0</v>
      </c>
      <c r="DL55" s="245"/>
    </row>
    <row r="56" spans="1:116" s="340" customFormat="1" ht="36.75" customHeight="1" x14ac:dyDescent="0.25">
      <c r="A56" s="153" t="s">
        <v>887</v>
      </c>
      <c r="B56" s="908" t="s">
        <v>862</v>
      </c>
      <c r="C56" s="911" t="s">
        <v>1059</v>
      </c>
      <c r="D56" s="245">
        <f>'4'!CN57</f>
        <v>0</v>
      </c>
      <c r="E56" s="245" t="s">
        <v>621</v>
      </c>
      <c r="F56" s="245" t="s">
        <v>621</v>
      </c>
      <c r="G56" s="245" t="s">
        <v>621</v>
      </c>
      <c r="H56" s="256" t="s">
        <v>621</v>
      </c>
      <c r="I56" s="245" t="s">
        <v>621</v>
      </c>
      <c r="J56" s="245">
        <v>28</v>
      </c>
      <c r="K56" s="245">
        <v>0</v>
      </c>
      <c r="L56" s="245" t="s">
        <v>621</v>
      </c>
      <c r="M56" s="245" t="s">
        <v>621</v>
      </c>
      <c r="N56" s="245" t="s">
        <v>621</v>
      </c>
      <c r="O56" s="245" t="s">
        <v>621</v>
      </c>
      <c r="P56" s="245" t="s">
        <v>621</v>
      </c>
      <c r="Q56" s="245">
        <v>28</v>
      </c>
      <c r="R56" s="245" t="s">
        <v>621</v>
      </c>
      <c r="S56" s="245" t="s">
        <v>621</v>
      </c>
      <c r="T56" s="245" t="s">
        <v>621</v>
      </c>
      <c r="U56" s="245" t="s">
        <v>621</v>
      </c>
      <c r="V56" s="245" t="s">
        <v>621</v>
      </c>
      <c r="W56" s="245" t="s">
        <v>621</v>
      </c>
      <c r="X56" s="245" t="s">
        <v>621</v>
      </c>
      <c r="Y56" s="245" t="s">
        <v>621</v>
      </c>
      <c r="Z56" s="245" t="s">
        <v>621</v>
      </c>
      <c r="AA56" s="245" t="s">
        <v>621</v>
      </c>
      <c r="AB56" s="245" t="s">
        <v>621</v>
      </c>
      <c r="AC56" s="245" t="s">
        <v>621</v>
      </c>
      <c r="AD56" s="245" t="s">
        <v>621</v>
      </c>
      <c r="AE56" s="245" t="s">
        <v>621</v>
      </c>
      <c r="AF56" s="245">
        <v>0</v>
      </c>
      <c r="AG56" s="245" t="s">
        <v>621</v>
      </c>
      <c r="AH56" s="245" t="s">
        <v>621</v>
      </c>
      <c r="AI56" s="245" t="s">
        <v>621</v>
      </c>
      <c r="AJ56" s="256" t="s">
        <v>621</v>
      </c>
      <c r="AK56" s="245" t="s">
        <v>621</v>
      </c>
      <c r="AL56" s="245">
        <f>'4'!Z57</f>
        <v>28</v>
      </c>
      <c r="AM56" s="245">
        <v>0</v>
      </c>
      <c r="AN56" s="245" t="s">
        <v>621</v>
      </c>
      <c r="AO56" s="245" t="s">
        <v>621</v>
      </c>
      <c r="AP56" s="245" t="s">
        <v>621</v>
      </c>
      <c r="AQ56" s="245" t="s">
        <v>621</v>
      </c>
      <c r="AR56" s="245" t="s">
        <v>621</v>
      </c>
      <c r="AS56" s="245">
        <v>28</v>
      </c>
      <c r="AT56" s="245">
        <v>0</v>
      </c>
      <c r="AU56" s="245" t="s">
        <v>621</v>
      </c>
      <c r="AV56" s="245" t="s">
        <v>621</v>
      </c>
      <c r="AW56" s="245" t="s">
        <v>621</v>
      </c>
      <c r="AX56" s="245" t="s">
        <v>621</v>
      </c>
      <c r="AY56" s="245" t="s">
        <v>621</v>
      </c>
      <c r="AZ56" s="245">
        <v>0</v>
      </c>
      <c r="BA56" s="245">
        <v>0</v>
      </c>
      <c r="BB56" s="245" t="s">
        <v>621</v>
      </c>
      <c r="BC56" s="245" t="s">
        <v>621</v>
      </c>
      <c r="BD56" s="245" t="s">
        <v>621</v>
      </c>
      <c r="BE56" s="245" t="s">
        <v>621</v>
      </c>
      <c r="BF56" s="245" t="s">
        <v>621</v>
      </c>
      <c r="BG56" s="245">
        <v>0</v>
      </c>
      <c r="BH56" s="245">
        <v>0</v>
      </c>
      <c r="BI56" s="245" t="s">
        <v>621</v>
      </c>
      <c r="BJ56" s="245" t="s">
        <v>621</v>
      </c>
      <c r="BK56" s="245" t="s">
        <v>621</v>
      </c>
      <c r="BL56" s="245" t="s">
        <v>621</v>
      </c>
      <c r="BM56" s="245" t="s">
        <v>621</v>
      </c>
      <c r="BN56" s="245">
        <v>0</v>
      </c>
      <c r="BO56" s="245">
        <v>0</v>
      </c>
      <c r="BP56" s="245" t="s">
        <v>621</v>
      </c>
      <c r="BQ56" s="245" t="s">
        <v>621</v>
      </c>
      <c r="BR56" s="245" t="s">
        <v>621</v>
      </c>
      <c r="BS56" s="245" t="s">
        <v>621</v>
      </c>
      <c r="BT56" s="245" t="s">
        <v>621</v>
      </c>
      <c r="BU56" s="245">
        <v>0</v>
      </c>
      <c r="BV56" s="245">
        <v>0</v>
      </c>
      <c r="BW56" s="245" t="s">
        <v>621</v>
      </c>
      <c r="BX56" s="245" t="s">
        <v>621</v>
      </c>
      <c r="BY56" s="245" t="s">
        <v>621</v>
      </c>
      <c r="BZ56" s="245" t="s">
        <v>621</v>
      </c>
      <c r="CA56" s="245" t="s">
        <v>621</v>
      </c>
      <c r="CB56" s="245" t="s">
        <v>621</v>
      </c>
      <c r="CC56" s="245">
        <v>0</v>
      </c>
      <c r="CD56" s="245" t="s">
        <v>621</v>
      </c>
      <c r="CE56" s="245" t="s">
        <v>621</v>
      </c>
      <c r="CF56" s="245" t="s">
        <v>621</v>
      </c>
      <c r="CG56" s="245" t="s">
        <v>621</v>
      </c>
      <c r="CH56" s="245" t="s">
        <v>621</v>
      </c>
      <c r="CI56" s="245" t="s">
        <v>621</v>
      </c>
      <c r="CJ56" s="245" t="s">
        <v>621</v>
      </c>
      <c r="CK56" s="245" t="s">
        <v>621</v>
      </c>
      <c r="CL56" s="245" t="s">
        <v>621</v>
      </c>
      <c r="CM56" s="245" t="s">
        <v>621</v>
      </c>
      <c r="CN56" s="245" t="s">
        <v>621</v>
      </c>
      <c r="CO56" s="245" t="s">
        <v>621</v>
      </c>
      <c r="CP56" s="245">
        <v>0</v>
      </c>
      <c r="CQ56" s="245" t="s">
        <v>621</v>
      </c>
      <c r="CR56" s="245" t="s">
        <v>621</v>
      </c>
      <c r="CS56" s="245" t="s">
        <v>621</v>
      </c>
      <c r="CT56" s="245" t="s">
        <v>621</v>
      </c>
      <c r="CU56" s="245" t="s">
        <v>621</v>
      </c>
      <c r="CV56" s="245" t="s">
        <v>621</v>
      </c>
      <c r="CW56" s="245">
        <v>0</v>
      </c>
      <c r="CX56" s="245">
        <f t="shared" si="4"/>
        <v>0</v>
      </c>
      <c r="CY56" s="245" t="s">
        <v>621</v>
      </c>
      <c r="CZ56" s="245" t="s">
        <v>621</v>
      </c>
      <c r="DA56" s="245" t="s">
        <v>621</v>
      </c>
      <c r="DB56" s="256" t="s">
        <v>621</v>
      </c>
      <c r="DC56" s="245" t="s">
        <v>621</v>
      </c>
      <c r="DD56" s="245">
        <v>28</v>
      </c>
      <c r="DE56" s="245">
        <v>0</v>
      </c>
      <c r="DF56" s="245" t="s">
        <v>621</v>
      </c>
      <c r="DG56" s="245" t="s">
        <v>621</v>
      </c>
      <c r="DH56" s="245" t="s">
        <v>621</v>
      </c>
      <c r="DI56" s="245" t="s">
        <v>621</v>
      </c>
      <c r="DJ56" s="245" t="s">
        <v>621</v>
      </c>
      <c r="DK56" s="245">
        <v>28</v>
      </c>
      <c r="DL56" s="245"/>
    </row>
    <row r="57" spans="1:116" s="340" customFormat="1" ht="24" customHeight="1" x14ac:dyDescent="0.25">
      <c r="A57" s="153" t="s">
        <v>888</v>
      </c>
      <c r="B57" s="908" t="s">
        <v>866</v>
      </c>
      <c r="C57" s="911" t="s">
        <v>1060</v>
      </c>
      <c r="D57" s="245">
        <f>'4'!CN58</f>
        <v>0.8</v>
      </c>
      <c r="E57" s="245" t="s">
        <v>621</v>
      </c>
      <c r="F57" s="245" t="s">
        <v>621</v>
      </c>
      <c r="G57" s="245" t="s">
        <v>621</v>
      </c>
      <c r="H57" s="256" t="s">
        <v>621</v>
      </c>
      <c r="I57" s="245" t="s">
        <v>621</v>
      </c>
      <c r="J57" s="245">
        <v>0</v>
      </c>
      <c r="K57" s="245">
        <v>0.8</v>
      </c>
      <c r="L57" s="245" t="s">
        <v>621</v>
      </c>
      <c r="M57" s="245" t="s">
        <v>621</v>
      </c>
      <c r="N57" s="245" t="s">
        <v>621</v>
      </c>
      <c r="O57" s="245" t="s">
        <v>621</v>
      </c>
      <c r="P57" s="245" t="s">
        <v>621</v>
      </c>
      <c r="Q57" s="245">
        <v>0</v>
      </c>
      <c r="R57" s="245" t="s">
        <v>621</v>
      </c>
      <c r="S57" s="245" t="s">
        <v>621</v>
      </c>
      <c r="T57" s="245" t="s">
        <v>621</v>
      </c>
      <c r="U57" s="245" t="s">
        <v>621</v>
      </c>
      <c r="V57" s="245" t="s">
        <v>621</v>
      </c>
      <c r="W57" s="245" t="s">
        <v>621</v>
      </c>
      <c r="X57" s="245" t="s">
        <v>621</v>
      </c>
      <c r="Y57" s="245" t="s">
        <v>621</v>
      </c>
      <c r="Z57" s="245" t="s">
        <v>621</v>
      </c>
      <c r="AA57" s="245" t="s">
        <v>621</v>
      </c>
      <c r="AB57" s="245" t="s">
        <v>621</v>
      </c>
      <c r="AC57" s="245" t="s">
        <v>621</v>
      </c>
      <c r="AD57" s="245" t="s">
        <v>621</v>
      </c>
      <c r="AE57" s="245" t="s">
        <v>621</v>
      </c>
      <c r="AF57" s="245">
        <v>0</v>
      </c>
      <c r="AG57" s="245" t="s">
        <v>621</v>
      </c>
      <c r="AH57" s="245" t="s">
        <v>621</v>
      </c>
      <c r="AI57" s="245" t="s">
        <v>621</v>
      </c>
      <c r="AJ57" s="256" t="s">
        <v>621</v>
      </c>
      <c r="AK57" s="245" t="s">
        <v>621</v>
      </c>
      <c r="AL57" s="245">
        <v>0</v>
      </c>
      <c r="AM57" s="245">
        <v>0</v>
      </c>
      <c r="AN57" s="245" t="s">
        <v>621</v>
      </c>
      <c r="AO57" s="245" t="s">
        <v>621</v>
      </c>
      <c r="AP57" s="245" t="s">
        <v>621</v>
      </c>
      <c r="AQ57" s="245" t="s">
        <v>621</v>
      </c>
      <c r="AR57" s="245" t="s">
        <v>621</v>
      </c>
      <c r="AS57" s="245">
        <v>0</v>
      </c>
      <c r="AT57" s="245">
        <f>'4'!AJ58</f>
        <v>0.8</v>
      </c>
      <c r="AU57" s="245" t="s">
        <v>621</v>
      </c>
      <c r="AV57" s="245" t="s">
        <v>621</v>
      </c>
      <c r="AW57" s="245" t="s">
        <v>621</v>
      </c>
      <c r="AX57" s="245" t="s">
        <v>621</v>
      </c>
      <c r="AY57" s="245" t="s">
        <v>621</v>
      </c>
      <c r="AZ57" s="245">
        <v>0</v>
      </c>
      <c r="BA57" s="245">
        <v>0.8</v>
      </c>
      <c r="BB57" s="245" t="s">
        <v>621</v>
      </c>
      <c r="BC57" s="245" t="s">
        <v>621</v>
      </c>
      <c r="BD57" s="245" t="s">
        <v>621</v>
      </c>
      <c r="BE57" s="245" t="s">
        <v>621</v>
      </c>
      <c r="BF57" s="245" t="s">
        <v>621</v>
      </c>
      <c r="BG57" s="245">
        <v>0</v>
      </c>
      <c r="BH57" s="245">
        <v>0</v>
      </c>
      <c r="BI57" s="245" t="s">
        <v>621</v>
      </c>
      <c r="BJ57" s="245" t="s">
        <v>621</v>
      </c>
      <c r="BK57" s="245" t="s">
        <v>621</v>
      </c>
      <c r="BL57" s="245" t="s">
        <v>621</v>
      </c>
      <c r="BM57" s="245" t="s">
        <v>621</v>
      </c>
      <c r="BN57" s="245">
        <v>0</v>
      </c>
      <c r="BO57" s="245">
        <v>0</v>
      </c>
      <c r="BP57" s="245" t="s">
        <v>621</v>
      </c>
      <c r="BQ57" s="245" t="s">
        <v>621</v>
      </c>
      <c r="BR57" s="245" t="s">
        <v>621</v>
      </c>
      <c r="BS57" s="245" t="s">
        <v>621</v>
      </c>
      <c r="BT57" s="245" t="s">
        <v>621</v>
      </c>
      <c r="BU57" s="245">
        <v>0</v>
      </c>
      <c r="BV57" s="245">
        <v>0</v>
      </c>
      <c r="BW57" s="245" t="s">
        <v>621</v>
      </c>
      <c r="BX57" s="245" t="s">
        <v>621</v>
      </c>
      <c r="BY57" s="245" t="s">
        <v>621</v>
      </c>
      <c r="BZ57" s="245" t="s">
        <v>621</v>
      </c>
      <c r="CA57" s="245" t="s">
        <v>621</v>
      </c>
      <c r="CB57" s="245" t="s">
        <v>621</v>
      </c>
      <c r="CC57" s="245">
        <v>0</v>
      </c>
      <c r="CD57" s="245" t="s">
        <v>621</v>
      </c>
      <c r="CE57" s="245" t="s">
        <v>621</v>
      </c>
      <c r="CF57" s="245" t="s">
        <v>621</v>
      </c>
      <c r="CG57" s="245" t="s">
        <v>621</v>
      </c>
      <c r="CH57" s="245" t="s">
        <v>621</v>
      </c>
      <c r="CI57" s="245" t="s">
        <v>621</v>
      </c>
      <c r="CJ57" s="245" t="s">
        <v>621</v>
      </c>
      <c r="CK57" s="245" t="s">
        <v>621</v>
      </c>
      <c r="CL57" s="245" t="s">
        <v>621</v>
      </c>
      <c r="CM57" s="245" t="s">
        <v>621</v>
      </c>
      <c r="CN57" s="245" t="s">
        <v>621</v>
      </c>
      <c r="CO57" s="245" t="s">
        <v>621</v>
      </c>
      <c r="CP57" s="245">
        <v>0</v>
      </c>
      <c r="CQ57" s="245" t="s">
        <v>621</v>
      </c>
      <c r="CR57" s="245" t="s">
        <v>621</v>
      </c>
      <c r="CS57" s="245" t="s">
        <v>621</v>
      </c>
      <c r="CT57" s="245" t="s">
        <v>621</v>
      </c>
      <c r="CU57" s="245" t="s">
        <v>621</v>
      </c>
      <c r="CV57" s="245" t="s">
        <v>621</v>
      </c>
      <c r="CW57" s="245">
        <v>0</v>
      </c>
      <c r="CX57" s="245">
        <f t="shared" si="4"/>
        <v>0.8</v>
      </c>
      <c r="CY57" s="245" t="s">
        <v>621</v>
      </c>
      <c r="CZ57" s="245" t="s">
        <v>621</v>
      </c>
      <c r="DA57" s="245" t="s">
        <v>621</v>
      </c>
      <c r="DB57" s="256" t="s">
        <v>621</v>
      </c>
      <c r="DC57" s="245" t="s">
        <v>621</v>
      </c>
      <c r="DD57" s="245">
        <v>0</v>
      </c>
      <c r="DE57" s="245">
        <v>0.8</v>
      </c>
      <c r="DF57" s="245" t="s">
        <v>621</v>
      </c>
      <c r="DG57" s="245" t="s">
        <v>621</v>
      </c>
      <c r="DH57" s="245" t="s">
        <v>621</v>
      </c>
      <c r="DI57" s="245" t="s">
        <v>621</v>
      </c>
      <c r="DJ57" s="245" t="s">
        <v>621</v>
      </c>
      <c r="DK57" s="245">
        <v>0</v>
      </c>
      <c r="DL57" s="245"/>
    </row>
    <row r="58" spans="1:116" s="340" customFormat="1" ht="49.5" customHeight="1" x14ac:dyDescent="0.25">
      <c r="A58" s="153" t="s">
        <v>889</v>
      </c>
      <c r="B58" s="908" t="s">
        <v>916</v>
      </c>
      <c r="C58" s="911" t="s">
        <v>1061</v>
      </c>
      <c r="D58" s="245">
        <f>'4'!CN59</f>
        <v>0</v>
      </c>
      <c r="E58" s="245" t="s">
        <v>621</v>
      </c>
      <c r="F58" s="245" t="s">
        <v>621</v>
      </c>
      <c r="G58" s="245" t="s">
        <v>621</v>
      </c>
      <c r="H58" s="256" t="s">
        <v>621</v>
      </c>
      <c r="I58" s="245" t="s">
        <v>621</v>
      </c>
      <c r="J58" s="245">
        <v>18</v>
      </c>
      <c r="K58" s="245">
        <v>0</v>
      </c>
      <c r="L58" s="245" t="s">
        <v>621</v>
      </c>
      <c r="M58" s="245" t="s">
        <v>621</v>
      </c>
      <c r="N58" s="245" t="s">
        <v>621</v>
      </c>
      <c r="O58" s="245" t="s">
        <v>621</v>
      </c>
      <c r="P58" s="245" t="s">
        <v>621</v>
      </c>
      <c r="Q58" s="245">
        <v>18</v>
      </c>
      <c r="R58" s="245" t="s">
        <v>621</v>
      </c>
      <c r="S58" s="245" t="s">
        <v>621</v>
      </c>
      <c r="T58" s="245" t="s">
        <v>621</v>
      </c>
      <c r="U58" s="245" t="s">
        <v>621</v>
      </c>
      <c r="V58" s="245" t="s">
        <v>621</v>
      </c>
      <c r="W58" s="245" t="s">
        <v>621</v>
      </c>
      <c r="X58" s="245" t="s">
        <v>621</v>
      </c>
      <c r="Y58" s="245" t="s">
        <v>621</v>
      </c>
      <c r="Z58" s="245" t="s">
        <v>621</v>
      </c>
      <c r="AA58" s="245" t="s">
        <v>621</v>
      </c>
      <c r="AB58" s="245" t="s">
        <v>621</v>
      </c>
      <c r="AC58" s="245" t="s">
        <v>621</v>
      </c>
      <c r="AD58" s="245" t="s">
        <v>621</v>
      </c>
      <c r="AE58" s="245" t="s">
        <v>621</v>
      </c>
      <c r="AF58" s="245">
        <v>0</v>
      </c>
      <c r="AG58" s="245" t="s">
        <v>621</v>
      </c>
      <c r="AH58" s="245" t="s">
        <v>621</v>
      </c>
      <c r="AI58" s="245" t="s">
        <v>621</v>
      </c>
      <c r="AJ58" s="256" t="s">
        <v>621</v>
      </c>
      <c r="AK58" s="245" t="s">
        <v>621</v>
      </c>
      <c r="AL58" s="245">
        <v>0</v>
      </c>
      <c r="AM58" s="245">
        <v>0</v>
      </c>
      <c r="AN58" s="245" t="s">
        <v>621</v>
      </c>
      <c r="AO58" s="245" t="s">
        <v>621</v>
      </c>
      <c r="AP58" s="245" t="s">
        <v>621</v>
      </c>
      <c r="AQ58" s="245" t="s">
        <v>621</v>
      </c>
      <c r="AR58" s="245" t="s">
        <v>621</v>
      </c>
      <c r="AS58" s="245">
        <v>0</v>
      </c>
      <c r="AT58" s="245">
        <v>0</v>
      </c>
      <c r="AU58" s="245" t="s">
        <v>621</v>
      </c>
      <c r="AV58" s="245" t="s">
        <v>621</v>
      </c>
      <c r="AW58" s="245" t="s">
        <v>621</v>
      </c>
      <c r="AX58" s="245" t="s">
        <v>621</v>
      </c>
      <c r="AY58" s="245" t="s">
        <v>621</v>
      </c>
      <c r="AZ58" s="245">
        <v>15</v>
      </c>
      <c r="BA58" s="245">
        <v>0</v>
      </c>
      <c r="BB58" s="245" t="s">
        <v>621</v>
      </c>
      <c r="BC58" s="245" t="s">
        <v>621</v>
      </c>
      <c r="BD58" s="245" t="s">
        <v>621</v>
      </c>
      <c r="BE58" s="245" t="s">
        <v>621</v>
      </c>
      <c r="BF58" s="245" t="s">
        <v>621</v>
      </c>
      <c r="BG58" s="245">
        <v>18</v>
      </c>
      <c r="BH58" s="245">
        <v>0</v>
      </c>
      <c r="BI58" s="245" t="s">
        <v>621</v>
      </c>
      <c r="BJ58" s="245" t="s">
        <v>621</v>
      </c>
      <c r="BK58" s="245" t="s">
        <v>621</v>
      </c>
      <c r="BL58" s="245" t="s">
        <v>621</v>
      </c>
      <c r="BM58" s="245" t="s">
        <v>621</v>
      </c>
      <c r="BN58" s="245">
        <v>0</v>
      </c>
      <c r="BO58" s="245">
        <v>0</v>
      </c>
      <c r="BP58" s="245" t="s">
        <v>621</v>
      </c>
      <c r="BQ58" s="245" t="s">
        <v>621</v>
      </c>
      <c r="BR58" s="245" t="s">
        <v>621</v>
      </c>
      <c r="BS58" s="245" t="s">
        <v>621</v>
      </c>
      <c r="BT58" s="245" t="s">
        <v>621</v>
      </c>
      <c r="BU58" s="245">
        <v>0</v>
      </c>
      <c r="BV58" s="245">
        <v>0</v>
      </c>
      <c r="BW58" s="245" t="s">
        <v>621</v>
      </c>
      <c r="BX58" s="245" t="s">
        <v>621</v>
      </c>
      <c r="BY58" s="245" t="s">
        <v>621</v>
      </c>
      <c r="BZ58" s="245" t="s">
        <v>621</v>
      </c>
      <c r="CA58" s="245" t="s">
        <v>621</v>
      </c>
      <c r="CB58" s="245" t="s">
        <v>621</v>
      </c>
      <c r="CC58" s="245">
        <v>0</v>
      </c>
      <c r="CD58" s="245" t="s">
        <v>621</v>
      </c>
      <c r="CE58" s="245" t="s">
        <v>621</v>
      </c>
      <c r="CF58" s="245" t="s">
        <v>621</v>
      </c>
      <c r="CG58" s="245" t="s">
        <v>621</v>
      </c>
      <c r="CH58" s="245" t="s">
        <v>621</v>
      </c>
      <c r="CI58" s="245" t="s">
        <v>621</v>
      </c>
      <c r="CJ58" s="245" t="s">
        <v>621</v>
      </c>
      <c r="CK58" s="245" t="s">
        <v>621</v>
      </c>
      <c r="CL58" s="245" t="s">
        <v>621</v>
      </c>
      <c r="CM58" s="245" t="s">
        <v>621</v>
      </c>
      <c r="CN58" s="245" t="s">
        <v>621</v>
      </c>
      <c r="CO58" s="245" t="s">
        <v>621</v>
      </c>
      <c r="CP58" s="245">
        <v>0</v>
      </c>
      <c r="CQ58" s="245" t="s">
        <v>621</v>
      </c>
      <c r="CR58" s="245" t="s">
        <v>621</v>
      </c>
      <c r="CS58" s="245" t="s">
        <v>621</v>
      </c>
      <c r="CT58" s="245" t="s">
        <v>621</v>
      </c>
      <c r="CU58" s="245" t="s">
        <v>621</v>
      </c>
      <c r="CV58" s="245" t="s">
        <v>621</v>
      </c>
      <c r="CW58" s="245">
        <v>0</v>
      </c>
      <c r="CX58" s="245">
        <f t="shared" si="4"/>
        <v>0</v>
      </c>
      <c r="CY58" s="245" t="s">
        <v>621</v>
      </c>
      <c r="CZ58" s="245" t="s">
        <v>621</v>
      </c>
      <c r="DA58" s="245" t="s">
        <v>621</v>
      </c>
      <c r="DB58" s="256" t="s">
        <v>621</v>
      </c>
      <c r="DC58" s="245" t="s">
        <v>621</v>
      </c>
      <c r="DD58" s="245">
        <v>15</v>
      </c>
      <c r="DE58" s="245">
        <v>0</v>
      </c>
      <c r="DF58" s="245" t="s">
        <v>621</v>
      </c>
      <c r="DG58" s="245" t="s">
        <v>621</v>
      </c>
      <c r="DH58" s="245" t="s">
        <v>621</v>
      </c>
      <c r="DI58" s="245" t="s">
        <v>621</v>
      </c>
      <c r="DJ58" s="245" t="s">
        <v>621</v>
      </c>
      <c r="DK58" s="245">
        <v>18</v>
      </c>
      <c r="DL58" s="245"/>
    </row>
    <row r="59" spans="1:116" s="340" customFormat="1" ht="21" customHeight="1" x14ac:dyDescent="0.25">
      <c r="A59" s="153" t="s">
        <v>890</v>
      </c>
      <c r="B59" s="908" t="s">
        <v>871</v>
      </c>
      <c r="C59" s="911" t="s">
        <v>1062</v>
      </c>
      <c r="D59" s="245">
        <f>'4'!CN60</f>
        <v>0.8</v>
      </c>
      <c r="E59" s="245" t="s">
        <v>621</v>
      </c>
      <c r="F59" s="245" t="s">
        <v>621</v>
      </c>
      <c r="G59" s="245" t="s">
        <v>621</v>
      </c>
      <c r="H59" s="256" t="s">
        <v>621</v>
      </c>
      <c r="I59" s="245" t="s">
        <v>621</v>
      </c>
      <c r="J59" s="245">
        <v>0</v>
      </c>
      <c r="K59" s="245">
        <v>0.8</v>
      </c>
      <c r="L59" s="245" t="s">
        <v>621</v>
      </c>
      <c r="M59" s="245" t="s">
        <v>621</v>
      </c>
      <c r="N59" s="245" t="s">
        <v>621</v>
      </c>
      <c r="O59" s="245" t="s">
        <v>621</v>
      </c>
      <c r="P59" s="245" t="s">
        <v>621</v>
      </c>
      <c r="Q59" s="245">
        <v>0</v>
      </c>
      <c r="R59" s="245" t="s">
        <v>621</v>
      </c>
      <c r="S59" s="245" t="s">
        <v>621</v>
      </c>
      <c r="T59" s="245" t="s">
        <v>621</v>
      </c>
      <c r="U59" s="245" t="s">
        <v>621</v>
      </c>
      <c r="V59" s="245" t="s">
        <v>621</v>
      </c>
      <c r="W59" s="245" t="s">
        <v>621</v>
      </c>
      <c r="X59" s="245" t="s">
        <v>621</v>
      </c>
      <c r="Y59" s="245" t="s">
        <v>621</v>
      </c>
      <c r="Z59" s="245" t="s">
        <v>621</v>
      </c>
      <c r="AA59" s="245" t="s">
        <v>621</v>
      </c>
      <c r="AB59" s="245" t="s">
        <v>621</v>
      </c>
      <c r="AC59" s="245" t="s">
        <v>621</v>
      </c>
      <c r="AD59" s="245" t="s">
        <v>621</v>
      </c>
      <c r="AE59" s="245" t="s">
        <v>621</v>
      </c>
      <c r="AF59" s="245">
        <v>0</v>
      </c>
      <c r="AG59" s="245" t="s">
        <v>621</v>
      </c>
      <c r="AH59" s="245" t="s">
        <v>621</v>
      </c>
      <c r="AI59" s="245" t="s">
        <v>621</v>
      </c>
      <c r="AJ59" s="256" t="s">
        <v>621</v>
      </c>
      <c r="AK59" s="245" t="s">
        <v>621</v>
      </c>
      <c r="AL59" s="245">
        <v>0</v>
      </c>
      <c r="AM59" s="245">
        <v>0</v>
      </c>
      <c r="AN59" s="245" t="s">
        <v>621</v>
      </c>
      <c r="AO59" s="245" t="s">
        <v>621</v>
      </c>
      <c r="AP59" s="245" t="s">
        <v>621</v>
      </c>
      <c r="AQ59" s="245" t="s">
        <v>621</v>
      </c>
      <c r="AR59" s="245" t="s">
        <v>621</v>
      </c>
      <c r="AS59" s="245">
        <v>0</v>
      </c>
      <c r="AT59" s="245">
        <v>0</v>
      </c>
      <c r="AU59" s="245" t="s">
        <v>621</v>
      </c>
      <c r="AV59" s="245" t="s">
        <v>621</v>
      </c>
      <c r="AW59" s="245" t="s">
        <v>621</v>
      </c>
      <c r="AX59" s="245" t="s">
        <v>621</v>
      </c>
      <c r="AY59" s="245" t="s">
        <v>621</v>
      </c>
      <c r="AZ59" s="245">
        <v>0</v>
      </c>
      <c r="BA59" s="245">
        <v>0</v>
      </c>
      <c r="BB59" s="245" t="s">
        <v>621</v>
      </c>
      <c r="BC59" s="245" t="s">
        <v>621</v>
      </c>
      <c r="BD59" s="245" t="s">
        <v>621</v>
      </c>
      <c r="BE59" s="245" t="s">
        <v>621</v>
      </c>
      <c r="BF59" s="245" t="s">
        <v>621</v>
      </c>
      <c r="BG59" s="245">
        <v>0</v>
      </c>
      <c r="BH59" s="245">
        <f>'4'!AX60</f>
        <v>0.8</v>
      </c>
      <c r="BI59" s="245" t="s">
        <v>621</v>
      </c>
      <c r="BJ59" s="245" t="s">
        <v>621</v>
      </c>
      <c r="BK59" s="245" t="s">
        <v>621</v>
      </c>
      <c r="BL59" s="245" t="s">
        <v>621</v>
      </c>
      <c r="BM59" s="245" t="s">
        <v>621</v>
      </c>
      <c r="BN59" s="245">
        <v>0</v>
      </c>
      <c r="BO59" s="245">
        <v>0</v>
      </c>
      <c r="BP59" s="245" t="s">
        <v>621</v>
      </c>
      <c r="BQ59" s="245" t="s">
        <v>621</v>
      </c>
      <c r="BR59" s="245" t="s">
        <v>621</v>
      </c>
      <c r="BS59" s="245" t="s">
        <v>621</v>
      </c>
      <c r="BT59" s="245" t="s">
        <v>621</v>
      </c>
      <c r="BU59" s="245">
        <v>0</v>
      </c>
      <c r="BV59" s="245">
        <v>0</v>
      </c>
      <c r="BW59" s="245" t="s">
        <v>621</v>
      </c>
      <c r="BX59" s="245" t="s">
        <v>621</v>
      </c>
      <c r="BY59" s="245" t="s">
        <v>621</v>
      </c>
      <c r="BZ59" s="245" t="s">
        <v>621</v>
      </c>
      <c r="CA59" s="245" t="s">
        <v>621</v>
      </c>
      <c r="CB59" s="245" t="s">
        <v>621</v>
      </c>
      <c r="CC59" s="245">
        <v>0</v>
      </c>
      <c r="CD59" s="245" t="s">
        <v>621</v>
      </c>
      <c r="CE59" s="245" t="s">
        <v>621</v>
      </c>
      <c r="CF59" s="245" t="s">
        <v>621</v>
      </c>
      <c r="CG59" s="245" t="s">
        <v>621</v>
      </c>
      <c r="CH59" s="245" t="s">
        <v>621</v>
      </c>
      <c r="CI59" s="245" t="s">
        <v>621</v>
      </c>
      <c r="CJ59" s="245" t="s">
        <v>621</v>
      </c>
      <c r="CK59" s="245" t="s">
        <v>621</v>
      </c>
      <c r="CL59" s="245" t="s">
        <v>621</v>
      </c>
      <c r="CM59" s="245" t="s">
        <v>621</v>
      </c>
      <c r="CN59" s="245" t="s">
        <v>621</v>
      </c>
      <c r="CO59" s="245" t="s">
        <v>621</v>
      </c>
      <c r="CP59" s="245">
        <v>0</v>
      </c>
      <c r="CQ59" s="245" t="s">
        <v>621</v>
      </c>
      <c r="CR59" s="245" t="s">
        <v>621</v>
      </c>
      <c r="CS59" s="245" t="s">
        <v>621</v>
      </c>
      <c r="CT59" s="245" t="s">
        <v>621</v>
      </c>
      <c r="CU59" s="245" t="s">
        <v>621</v>
      </c>
      <c r="CV59" s="245" t="s">
        <v>621</v>
      </c>
      <c r="CW59" s="245">
        <v>0</v>
      </c>
      <c r="CX59" s="245">
        <f t="shared" si="4"/>
        <v>0.8</v>
      </c>
      <c r="CY59" s="245" t="s">
        <v>621</v>
      </c>
      <c r="CZ59" s="245" t="s">
        <v>621</v>
      </c>
      <c r="DA59" s="245" t="s">
        <v>621</v>
      </c>
      <c r="DB59" s="256" t="s">
        <v>621</v>
      </c>
      <c r="DC59" s="245" t="s">
        <v>621</v>
      </c>
      <c r="DD59" s="245">
        <v>0</v>
      </c>
      <c r="DE59" s="245">
        <v>0.8</v>
      </c>
      <c r="DF59" s="245" t="s">
        <v>621</v>
      </c>
      <c r="DG59" s="245" t="s">
        <v>621</v>
      </c>
      <c r="DH59" s="245" t="s">
        <v>621</v>
      </c>
      <c r="DI59" s="245" t="s">
        <v>621</v>
      </c>
      <c r="DJ59" s="245" t="s">
        <v>621</v>
      </c>
      <c r="DK59" s="245">
        <v>0</v>
      </c>
      <c r="DL59" s="245"/>
    </row>
    <row r="60" spans="1:116" s="340" customFormat="1" ht="30.75" x14ac:dyDescent="0.25">
      <c r="A60" s="153" t="s">
        <v>891</v>
      </c>
      <c r="B60" s="908" t="s">
        <v>872</v>
      </c>
      <c r="C60" s="911" t="s">
        <v>1063</v>
      </c>
      <c r="D60" s="245">
        <f>'4'!CN61</f>
        <v>1.26</v>
      </c>
      <c r="E60" s="245" t="s">
        <v>621</v>
      </c>
      <c r="F60" s="245" t="s">
        <v>621</v>
      </c>
      <c r="G60" s="245" t="s">
        <v>621</v>
      </c>
      <c r="H60" s="256" t="s">
        <v>621</v>
      </c>
      <c r="I60" s="245" t="s">
        <v>621</v>
      </c>
      <c r="J60" s="245">
        <v>0</v>
      </c>
      <c r="K60" s="245">
        <v>1.26</v>
      </c>
      <c r="L60" s="245" t="s">
        <v>621</v>
      </c>
      <c r="M60" s="245" t="s">
        <v>621</v>
      </c>
      <c r="N60" s="245" t="s">
        <v>621</v>
      </c>
      <c r="O60" s="245" t="s">
        <v>621</v>
      </c>
      <c r="P60" s="245" t="s">
        <v>621</v>
      </c>
      <c r="Q60" s="245">
        <v>0</v>
      </c>
      <c r="R60" s="245" t="s">
        <v>621</v>
      </c>
      <c r="S60" s="245" t="s">
        <v>621</v>
      </c>
      <c r="T60" s="245" t="s">
        <v>621</v>
      </c>
      <c r="U60" s="245" t="s">
        <v>621</v>
      </c>
      <c r="V60" s="245" t="s">
        <v>621</v>
      </c>
      <c r="W60" s="245" t="s">
        <v>621</v>
      </c>
      <c r="X60" s="245" t="s">
        <v>621</v>
      </c>
      <c r="Y60" s="245" t="s">
        <v>621</v>
      </c>
      <c r="Z60" s="245" t="s">
        <v>621</v>
      </c>
      <c r="AA60" s="245" t="s">
        <v>621</v>
      </c>
      <c r="AB60" s="245" t="s">
        <v>621</v>
      </c>
      <c r="AC60" s="245" t="s">
        <v>621</v>
      </c>
      <c r="AD60" s="245" t="s">
        <v>621</v>
      </c>
      <c r="AE60" s="245" t="s">
        <v>621</v>
      </c>
      <c r="AF60" s="245">
        <v>0</v>
      </c>
      <c r="AG60" s="245" t="s">
        <v>621</v>
      </c>
      <c r="AH60" s="245" t="s">
        <v>621</v>
      </c>
      <c r="AI60" s="245" t="s">
        <v>621</v>
      </c>
      <c r="AJ60" s="256" t="s">
        <v>621</v>
      </c>
      <c r="AK60" s="245" t="s">
        <v>621</v>
      </c>
      <c r="AL60" s="245">
        <v>0</v>
      </c>
      <c r="AM60" s="245">
        <v>0</v>
      </c>
      <c r="AN60" s="245" t="s">
        <v>621</v>
      </c>
      <c r="AO60" s="245" t="s">
        <v>621</v>
      </c>
      <c r="AP60" s="245" t="s">
        <v>621</v>
      </c>
      <c r="AQ60" s="245" t="s">
        <v>621</v>
      </c>
      <c r="AR60" s="245" t="s">
        <v>621</v>
      </c>
      <c r="AS60" s="245">
        <v>0</v>
      </c>
      <c r="AT60" s="245">
        <v>0</v>
      </c>
      <c r="AU60" s="245" t="s">
        <v>621</v>
      </c>
      <c r="AV60" s="245" t="s">
        <v>621</v>
      </c>
      <c r="AW60" s="245" t="s">
        <v>621</v>
      </c>
      <c r="AX60" s="245" t="s">
        <v>621</v>
      </c>
      <c r="AY60" s="245" t="s">
        <v>621</v>
      </c>
      <c r="AZ60" s="245">
        <v>0</v>
      </c>
      <c r="BA60" s="245">
        <v>0</v>
      </c>
      <c r="BB60" s="245" t="s">
        <v>621</v>
      </c>
      <c r="BC60" s="245" t="s">
        <v>621</v>
      </c>
      <c r="BD60" s="245" t="s">
        <v>621</v>
      </c>
      <c r="BE60" s="245" t="s">
        <v>621</v>
      </c>
      <c r="BF60" s="245" t="s">
        <v>621</v>
      </c>
      <c r="BG60" s="245">
        <v>0</v>
      </c>
      <c r="BH60" s="245">
        <f>'4'!AX61</f>
        <v>1.26</v>
      </c>
      <c r="BI60" s="245" t="s">
        <v>621</v>
      </c>
      <c r="BJ60" s="245" t="s">
        <v>621</v>
      </c>
      <c r="BK60" s="245" t="s">
        <v>621</v>
      </c>
      <c r="BL60" s="245" t="s">
        <v>621</v>
      </c>
      <c r="BM60" s="245" t="s">
        <v>621</v>
      </c>
      <c r="BN60" s="245">
        <v>0</v>
      </c>
      <c r="BO60" s="245">
        <v>0</v>
      </c>
      <c r="BP60" s="245" t="s">
        <v>621</v>
      </c>
      <c r="BQ60" s="245" t="s">
        <v>621</v>
      </c>
      <c r="BR60" s="245" t="s">
        <v>621</v>
      </c>
      <c r="BS60" s="245" t="s">
        <v>621</v>
      </c>
      <c r="BT60" s="245" t="s">
        <v>621</v>
      </c>
      <c r="BU60" s="245">
        <v>0</v>
      </c>
      <c r="BV60" s="245">
        <v>0</v>
      </c>
      <c r="BW60" s="245" t="s">
        <v>621</v>
      </c>
      <c r="BX60" s="245" t="s">
        <v>621</v>
      </c>
      <c r="BY60" s="245" t="s">
        <v>621</v>
      </c>
      <c r="BZ60" s="245" t="s">
        <v>621</v>
      </c>
      <c r="CA60" s="245" t="s">
        <v>621</v>
      </c>
      <c r="CB60" s="245" t="s">
        <v>621</v>
      </c>
      <c r="CC60" s="245">
        <v>0</v>
      </c>
      <c r="CD60" s="245" t="s">
        <v>621</v>
      </c>
      <c r="CE60" s="245" t="s">
        <v>621</v>
      </c>
      <c r="CF60" s="245" t="s">
        <v>621</v>
      </c>
      <c r="CG60" s="245" t="s">
        <v>621</v>
      </c>
      <c r="CH60" s="245" t="s">
        <v>621</v>
      </c>
      <c r="CI60" s="245" t="s">
        <v>621</v>
      </c>
      <c r="CJ60" s="245" t="s">
        <v>621</v>
      </c>
      <c r="CK60" s="245" t="s">
        <v>621</v>
      </c>
      <c r="CL60" s="245" t="s">
        <v>621</v>
      </c>
      <c r="CM60" s="245" t="s">
        <v>621</v>
      </c>
      <c r="CN60" s="245" t="s">
        <v>621</v>
      </c>
      <c r="CO60" s="245" t="s">
        <v>621</v>
      </c>
      <c r="CP60" s="245">
        <v>0</v>
      </c>
      <c r="CQ60" s="245" t="s">
        <v>621</v>
      </c>
      <c r="CR60" s="245" t="s">
        <v>621</v>
      </c>
      <c r="CS60" s="245" t="s">
        <v>621</v>
      </c>
      <c r="CT60" s="245" t="s">
        <v>621</v>
      </c>
      <c r="CU60" s="245" t="s">
        <v>621</v>
      </c>
      <c r="CV60" s="245" t="s">
        <v>621</v>
      </c>
      <c r="CW60" s="245">
        <v>0</v>
      </c>
      <c r="CX60" s="245">
        <f t="shared" si="4"/>
        <v>1.26</v>
      </c>
      <c r="CY60" s="245" t="s">
        <v>621</v>
      </c>
      <c r="CZ60" s="245" t="s">
        <v>621</v>
      </c>
      <c r="DA60" s="245" t="s">
        <v>621</v>
      </c>
      <c r="DB60" s="256" t="s">
        <v>621</v>
      </c>
      <c r="DC60" s="245" t="s">
        <v>621</v>
      </c>
      <c r="DD60" s="245">
        <v>0</v>
      </c>
      <c r="DE60" s="245">
        <v>1.26</v>
      </c>
      <c r="DF60" s="245" t="s">
        <v>621</v>
      </c>
      <c r="DG60" s="245" t="s">
        <v>621</v>
      </c>
      <c r="DH60" s="245" t="s">
        <v>621</v>
      </c>
      <c r="DI60" s="245" t="s">
        <v>621</v>
      </c>
      <c r="DJ60" s="245" t="s">
        <v>621</v>
      </c>
      <c r="DK60" s="245">
        <v>0</v>
      </c>
      <c r="DL60" s="245"/>
    </row>
    <row r="61" spans="1:116" s="340" customFormat="1" ht="40.5" x14ac:dyDescent="0.25">
      <c r="A61" s="153" t="s">
        <v>892</v>
      </c>
      <c r="B61" s="908" t="s">
        <v>873</v>
      </c>
      <c r="C61" s="911" t="s">
        <v>1064</v>
      </c>
      <c r="D61" s="245">
        <f>'4'!CN62</f>
        <v>0</v>
      </c>
      <c r="E61" s="245" t="s">
        <v>621</v>
      </c>
      <c r="F61" s="245" t="s">
        <v>621</v>
      </c>
      <c r="G61" s="245" t="s">
        <v>621</v>
      </c>
      <c r="H61" s="256" t="s">
        <v>621</v>
      </c>
      <c r="I61" s="245" t="s">
        <v>621</v>
      </c>
      <c r="J61" s="245">
        <v>38</v>
      </c>
      <c r="K61" s="245">
        <v>0</v>
      </c>
      <c r="L61" s="245" t="s">
        <v>621</v>
      </c>
      <c r="M61" s="245" t="s">
        <v>621</v>
      </c>
      <c r="N61" s="245" t="s">
        <v>621</v>
      </c>
      <c r="O61" s="245" t="s">
        <v>621</v>
      </c>
      <c r="P61" s="245" t="s">
        <v>621</v>
      </c>
      <c r="Q61" s="245">
        <v>38</v>
      </c>
      <c r="R61" s="245" t="s">
        <v>621</v>
      </c>
      <c r="S61" s="245" t="s">
        <v>621</v>
      </c>
      <c r="T61" s="245" t="s">
        <v>621</v>
      </c>
      <c r="U61" s="245" t="s">
        <v>621</v>
      </c>
      <c r="V61" s="245" t="s">
        <v>621</v>
      </c>
      <c r="W61" s="245" t="s">
        <v>621</v>
      </c>
      <c r="X61" s="245" t="s">
        <v>621</v>
      </c>
      <c r="Y61" s="245" t="s">
        <v>621</v>
      </c>
      <c r="Z61" s="245" t="s">
        <v>621</v>
      </c>
      <c r="AA61" s="245" t="s">
        <v>621</v>
      </c>
      <c r="AB61" s="245" t="s">
        <v>621</v>
      </c>
      <c r="AC61" s="245" t="s">
        <v>621</v>
      </c>
      <c r="AD61" s="245" t="s">
        <v>621</v>
      </c>
      <c r="AE61" s="245" t="s">
        <v>621</v>
      </c>
      <c r="AF61" s="245">
        <v>0</v>
      </c>
      <c r="AG61" s="245" t="s">
        <v>621</v>
      </c>
      <c r="AH61" s="245" t="s">
        <v>621</v>
      </c>
      <c r="AI61" s="245" t="s">
        <v>621</v>
      </c>
      <c r="AJ61" s="256" t="s">
        <v>621</v>
      </c>
      <c r="AK61" s="245" t="s">
        <v>621</v>
      </c>
      <c r="AL61" s="245">
        <v>0</v>
      </c>
      <c r="AM61" s="245">
        <v>0</v>
      </c>
      <c r="AN61" s="245" t="s">
        <v>621</v>
      </c>
      <c r="AO61" s="245" t="s">
        <v>621</v>
      </c>
      <c r="AP61" s="245" t="s">
        <v>621</v>
      </c>
      <c r="AQ61" s="245" t="s">
        <v>621</v>
      </c>
      <c r="AR61" s="245" t="s">
        <v>621</v>
      </c>
      <c r="AS61" s="245">
        <v>0</v>
      </c>
      <c r="AT61" s="245">
        <v>0</v>
      </c>
      <c r="AU61" s="245" t="s">
        <v>621</v>
      </c>
      <c r="AV61" s="245" t="s">
        <v>621</v>
      </c>
      <c r="AW61" s="245" t="s">
        <v>621</v>
      </c>
      <c r="AX61" s="245" t="s">
        <v>621</v>
      </c>
      <c r="AY61" s="245" t="s">
        <v>621</v>
      </c>
      <c r="AZ61" s="245">
        <v>0</v>
      </c>
      <c r="BA61" s="245">
        <v>0</v>
      </c>
      <c r="BB61" s="245" t="s">
        <v>621</v>
      </c>
      <c r="BC61" s="245" t="s">
        <v>621</v>
      </c>
      <c r="BD61" s="245" t="s">
        <v>621</v>
      </c>
      <c r="BE61" s="245" t="s">
        <v>621</v>
      </c>
      <c r="BF61" s="245" t="s">
        <v>621</v>
      </c>
      <c r="BG61" s="245">
        <v>0</v>
      </c>
      <c r="BH61" s="245">
        <v>0</v>
      </c>
      <c r="BI61" s="245" t="s">
        <v>621</v>
      </c>
      <c r="BJ61" s="245" t="s">
        <v>621</v>
      </c>
      <c r="BK61" s="245" t="s">
        <v>621</v>
      </c>
      <c r="BL61" s="245" t="s">
        <v>621</v>
      </c>
      <c r="BM61" s="245" t="s">
        <v>621</v>
      </c>
      <c r="BN61" s="245">
        <f>'4'!BB62</f>
        <v>38</v>
      </c>
      <c r="BO61" s="245">
        <v>0</v>
      </c>
      <c r="BP61" s="245" t="s">
        <v>621</v>
      </c>
      <c r="BQ61" s="245" t="s">
        <v>621</v>
      </c>
      <c r="BR61" s="245" t="s">
        <v>621</v>
      </c>
      <c r="BS61" s="245" t="s">
        <v>621</v>
      </c>
      <c r="BT61" s="245" t="s">
        <v>621</v>
      </c>
      <c r="BU61" s="245">
        <v>31</v>
      </c>
      <c r="BV61" s="245">
        <v>0</v>
      </c>
      <c r="BW61" s="245" t="s">
        <v>621</v>
      </c>
      <c r="BX61" s="245" t="s">
        <v>621</v>
      </c>
      <c r="BY61" s="245" t="s">
        <v>621</v>
      </c>
      <c r="BZ61" s="245" t="s">
        <v>621</v>
      </c>
      <c r="CA61" s="245" t="s">
        <v>621</v>
      </c>
      <c r="CB61" s="245" t="s">
        <v>621</v>
      </c>
      <c r="CC61" s="245">
        <v>0</v>
      </c>
      <c r="CD61" s="245" t="s">
        <v>621</v>
      </c>
      <c r="CE61" s="245" t="s">
        <v>621</v>
      </c>
      <c r="CF61" s="245" t="s">
        <v>621</v>
      </c>
      <c r="CG61" s="245" t="s">
        <v>621</v>
      </c>
      <c r="CH61" s="245" t="s">
        <v>621</v>
      </c>
      <c r="CI61" s="245" t="s">
        <v>621</v>
      </c>
      <c r="CJ61" s="245" t="s">
        <v>621</v>
      </c>
      <c r="CK61" s="245" t="s">
        <v>621</v>
      </c>
      <c r="CL61" s="245" t="s">
        <v>621</v>
      </c>
      <c r="CM61" s="245" t="s">
        <v>621</v>
      </c>
      <c r="CN61" s="245" t="s">
        <v>621</v>
      </c>
      <c r="CO61" s="245" t="s">
        <v>621</v>
      </c>
      <c r="CP61" s="245">
        <v>0</v>
      </c>
      <c r="CQ61" s="245" t="s">
        <v>621</v>
      </c>
      <c r="CR61" s="245" t="s">
        <v>621</v>
      </c>
      <c r="CS61" s="245" t="s">
        <v>621</v>
      </c>
      <c r="CT61" s="245" t="s">
        <v>621</v>
      </c>
      <c r="CU61" s="245" t="s">
        <v>621</v>
      </c>
      <c r="CV61" s="245" t="s">
        <v>621</v>
      </c>
      <c r="CW61" s="245">
        <v>0</v>
      </c>
      <c r="CX61" s="245">
        <f t="shared" si="4"/>
        <v>0</v>
      </c>
      <c r="CY61" s="245" t="s">
        <v>621</v>
      </c>
      <c r="CZ61" s="245" t="s">
        <v>621</v>
      </c>
      <c r="DA61" s="245" t="s">
        <v>621</v>
      </c>
      <c r="DB61" s="256" t="s">
        <v>621</v>
      </c>
      <c r="DC61" s="245" t="s">
        <v>621</v>
      </c>
      <c r="DD61" s="245">
        <v>38</v>
      </c>
      <c r="DE61" s="245">
        <v>0</v>
      </c>
      <c r="DF61" s="245" t="s">
        <v>621</v>
      </c>
      <c r="DG61" s="245" t="s">
        <v>621</v>
      </c>
      <c r="DH61" s="245" t="s">
        <v>621</v>
      </c>
      <c r="DI61" s="245" t="s">
        <v>621</v>
      </c>
      <c r="DJ61" s="245" t="s">
        <v>621</v>
      </c>
      <c r="DK61" s="245">
        <v>31</v>
      </c>
      <c r="DL61" s="245"/>
    </row>
    <row r="62" spans="1:116" s="340" customFormat="1" ht="30.75" x14ac:dyDescent="0.25">
      <c r="A62" s="153" t="s">
        <v>893</v>
      </c>
      <c r="B62" s="908" t="s">
        <v>877</v>
      </c>
      <c r="C62" s="911" t="s">
        <v>1065</v>
      </c>
      <c r="D62" s="245">
        <f>'4'!CN63</f>
        <v>1.26</v>
      </c>
      <c r="E62" s="245" t="s">
        <v>621</v>
      </c>
      <c r="F62" s="245" t="s">
        <v>621</v>
      </c>
      <c r="G62" s="245" t="s">
        <v>621</v>
      </c>
      <c r="H62" s="256" t="s">
        <v>621</v>
      </c>
      <c r="I62" s="245" t="s">
        <v>621</v>
      </c>
      <c r="J62" s="245">
        <v>0</v>
      </c>
      <c r="K62" s="245">
        <v>1.26</v>
      </c>
      <c r="L62" s="245" t="s">
        <v>621</v>
      </c>
      <c r="M62" s="245" t="s">
        <v>621</v>
      </c>
      <c r="N62" s="245" t="s">
        <v>621</v>
      </c>
      <c r="O62" s="245" t="s">
        <v>621</v>
      </c>
      <c r="P62" s="245" t="s">
        <v>621</v>
      </c>
      <c r="Q62" s="245">
        <v>0</v>
      </c>
      <c r="R62" s="245" t="s">
        <v>621</v>
      </c>
      <c r="S62" s="245" t="s">
        <v>621</v>
      </c>
      <c r="T62" s="245" t="s">
        <v>621</v>
      </c>
      <c r="U62" s="245" t="s">
        <v>621</v>
      </c>
      <c r="V62" s="245" t="s">
        <v>621</v>
      </c>
      <c r="W62" s="245" t="s">
        <v>621</v>
      </c>
      <c r="X62" s="245" t="s">
        <v>621</v>
      </c>
      <c r="Y62" s="245" t="s">
        <v>621</v>
      </c>
      <c r="Z62" s="245" t="s">
        <v>621</v>
      </c>
      <c r="AA62" s="245" t="s">
        <v>621</v>
      </c>
      <c r="AB62" s="245" t="s">
        <v>621</v>
      </c>
      <c r="AC62" s="245" t="s">
        <v>621</v>
      </c>
      <c r="AD62" s="245" t="s">
        <v>621</v>
      </c>
      <c r="AE62" s="245" t="s">
        <v>621</v>
      </c>
      <c r="AF62" s="245">
        <v>0</v>
      </c>
      <c r="AG62" s="245" t="s">
        <v>621</v>
      </c>
      <c r="AH62" s="245" t="s">
        <v>621</v>
      </c>
      <c r="AI62" s="245" t="s">
        <v>621</v>
      </c>
      <c r="AJ62" s="256" t="s">
        <v>621</v>
      </c>
      <c r="AK62" s="245" t="s">
        <v>621</v>
      </c>
      <c r="AL62" s="245">
        <v>0</v>
      </c>
      <c r="AM62" s="245">
        <v>0</v>
      </c>
      <c r="AN62" s="245" t="s">
        <v>621</v>
      </c>
      <c r="AO62" s="245" t="s">
        <v>621</v>
      </c>
      <c r="AP62" s="245" t="s">
        <v>621</v>
      </c>
      <c r="AQ62" s="245" t="s">
        <v>621</v>
      </c>
      <c r="AR62" s="245" t="s">
        <v>621</v>
      </c>
      <c r="AS62" s="245">
        <v>0</v>
      </c>
      <c r="AT62" s="245">
        <v>0</v>
      </c>
      <c r="AU62" s="245" t="s">
        <v>621</v>
      </c>
      <c r="AV62" s="245" t="s">
        <v>621</v>
      </c>
      <c r="AW62" s="245" t="s">
        <v>621</v>
      </c>
      <c r="AX62" s="245" t="s">
        <v>621</v>
      </c>
      <c r="AY62" s="245" t="s">
        <v>621</v>
      </c>
      <c r="AZ62" s="245">
        <v>0</v>
      </c>
      <c r="BA62" s="245">
        <v>0</v>
      </c>
      <c r="BB62" s="245" t="s">
        <v>621</v>
      </c>
      <c r="BC62" s="245" t="s">
        <v>621</v>
      </c>
      <c r="BD62" s="245" t="s">
        <v>621</v>
      </c>
      <c r="BE62" s="245" t="s">
        <v>621</v>
      </c>
      <c r="BF62" s="245" t="s">
        <v>621</v>
      </c>
      <c r="BG62" s="245">
        <v>0</v>
      </c>
      <c r="BH62" s="245">
        <v>0</v>
      </c>
      <c r="BI62" s="245" t="s">
        <v>621</v>
      </c>
      <c r="BJ62" s="245" t="s">
        <v>621</v>
      </c>
      <c r="BK62" s="245" t="s">
        <v>621</v>
      </c>
      <c r="BL62" s="245" t="s">
        <v>621</v>
      </c>
      <c r="BM62" s="245" t="s">
        <v>621</v>
      </c>
      <c r="BN62" s="245">
        <v>0</v>
      </c>
      <c r="BO62" s="245">
        <v>0</v>
      </c>
      <c r="BP62" s="245" t="s">
        <v>621</v>
      </c>
      <c r="BQ62" s="245" t="s">
        <v>621</v>
      </c>
      <c r="BR62" s="245" t="s">
        <v>621</v>
      </c>
      <c r="BS62" s="245" t="s">
        <v>621</v>
      </c>
      <c r="BT62" s="245" t="s">
        <v>621</v>
      </c>
      <c r="BU62" s="245">
        <v>0</v>
      </c>
      <c r="BV62" s="245">
        <f>'4'!BL63</f>
        <v>1.26</v>
      </c>
      <c r="BW62" s="245" t="s">
        <v>621</v>
      </c>
      <c r="BX62" s="245" t="s">
        <v>621</v>
      </c>
      <c r="BY62" s="245" t="s">
        <v>621</v>
      </c>
      <c r="BZ62" s="245" t="s">
        <v>621</v>
      </c>
      <c r="CA62" s="245" t="s">
        <v>621</v>
      </c>
      <c r="CB62" s="245" t="s">
        <v>621</v>
      </c>
      <c r="CC62" s="245">
        <v>1.26</v>
      </c>
      <c r="CD62" s="245" t="s">
        <v>621</v>
      </c>
      <c r="CE62" s="245" t="s">
        <v>621</v>
      </c>
      <c r="CF62" s="245" t="s">
        <v>621</v>
      </c>
      <c r="CG62" s="245" t="s">
        <v>621</v>
      </c>
      <c r="CH62" s="245" t="s">
        <v>621</v>
      </c>
      <c r="CI62" s="245" t="s">
        <v>621</v>
      </c>
      <c r="CJ62" s="245" t="s">
        <v>621</v>
      </c>
      <c r="CK62" s="245" t="s">
        <v>621</v>
      </c>
      <c r="CL62" s="245" t="s">
        <v>621</v>
      </c>
      <c r="CM62" s="245" t="s">
        <v>621</v>
      </c>
      <c r="CN62" s="245" t="s">
        <v>621</v>
      </c>
      <c r="CO62" s="245" t="s">
        <v>621</v>
      </c>
      <c r="CP62" s="245">
        <v>0</v>
      </c>
      <c r="CQ62" s="245" t="s">
        <v>621</v>
      </c>
      <c r="CR62" s="245" t="s">
        <v>621</v>
      </c>
      <c r="CS62" s="245" t="s">
        <v>621</v>
      </c>
      <c r="CT62" s="245" t="s">
        <v>621</v>
      </c>
      <c r="CU62" s="245" t="s">
        <v>621</v>
      </c>
      <c r="CV62" s="245" t="s">
        <v>621</v>
      </c>
      <c r="CW62" s="245">
        <v>0</v>
      </c>
      <c r="CX62" s="245">
        <f t="shared" si="4"/>
        <v>1.26</v>
      </c>
      <c r="CY62" s="245" t="s">
        <v>621</v>
      </c>
      <c r="CZ62" s="245" t="s">
        <v>621</v>
      </c>
      <c r="DA62" s="245" t="s">
        <v>621</v>
      </c>
      <c r="DB62" s="256" t="s">
        <v>621</v>
      </c>
      <c r="DC62" s="245" t="s">
        <v>621</v>
      </c>
      <c r="DD62" s="245">
        <v>0</v>
      </c>
      <c r="DE62" s="245">
        <v>1.26</v>
      </c>
      <c r="DF62" s="245" t="s">
        <v>621</v>
      </c>
      <c r="DG62" s="245" t="s">
        <v>621</v>
      </c>
      <c r="DH62" s="245" t="s">
        <v>621</v>
      </c>
      <c r="DI62" s="245" t="s">
        <v>621</v>
      </c>
      <c r="DJ62" s="245" t="s">
        <v>621</v>
      </c>
      <c r="DK62" s="245">
        <v>0</v>
      </c>
      <c r="DL62" s="245"/>
    </row>
    <row r="63" spans="1:116" s="340" customFormat="1" ht="30.75" x14ac:dyDescent="0.25">
      <c r="A63" s="153" t="s">
        <v>894</v>
      </c>
      <c r="B63" s="908" t="s">
        <v>878</v>
      </c>
      <c r="C63" s="911" t="s">
        <v>1066</v>
      </c>
      <c r="D63" s="245">
        <f>'4'!CN64</f>
        <v>1.03</v>
      </c>
      <c r="E63" s="245" t="s">
        <v>621</v>
      </c>
      <c r="F63" s="245" t="s">
        <v>621</v>
      </c>
      <c r="G63" s="245" t="s">
        <v>621</v>
      </c>
      <c r="H63" s="256" t="s">
        <v>621</v>
      </c>
      <c r="I63" s="245" t="s">
        <v>621</v>
      </c>
      <c r="J63" s="245">
        <v>0</v>
      </c>
      <c r="K63" s="245">
        <v>1.03</v>
      </c>
      <c r="L63" s="245" t="s">
        <v>621</v>
      </c>
      <c r="M63" s="245" t="s">
        <v>621</v>
      </c>
      <c r="N63" s="245" t="s">
        <v>621</v>
      </c>
      <c r="O63" s="245" t="s">
        <v>621</v>
      </c>
      <c r="P63" s="245" t="s">
        <v>621</v>
      </c>
      <c r="Q63" s="245">
        <v>0</v>
      </c>
      <c r="R63" s="245" t="s">
        <v>621</v>
      </c>
      <c r="S63" s="245" t="s">
        <v>621</v>
      </c>
      <c r="T63" s="245" t="s">
        <v>621</v>
      </c>
      <c r="U63" s="245" t="s">
        <v>621</v>
      </c>
      <c r="V63" s="245" t="s">
        <v>621</v>
      </c>
      <c r="W63" s="245" t="s">
        <v>621</v>
      </c>
      <c r="X63" s="245" t="s">
        <v>621</v>
      </c>
      <c r="Y63" s="245" t="s">
        <v>621</v>
      </c>
      <c r="Z63" s="245" t="s">
        <v>621</v>
      </c>
      <c r="AA63" s="245" t="s">
        <v>621</v>
      </c>
      <c r="AB63" s="245" t="s">
        <v>621</v>
      </c>
      <c r="AC63" s="245" t="s">
        <v>621</v>
      </c>
      <c r="AD63" s="245" t="s">
        <v>621</v>
      </c>
      <c r="AE63" s="245" t="s">
        <v>621</v>
      </c>
      <c r="AF63" s="245">
        <v>0</v>
      </c>
      <c r="AG63" s="245" t="s">
        <v>621</v>
      </c>
      <c r="AH63" s="245" t="s">
        <v>621</v>
      </c>
      <c r="AI63" s="245" t="s">
        <v>621</v>
      </c>
      <c r="AJ63" s="256" t="s">
        <v>621</v>
      </c>
      <c r="AK63" s="245" t="s">
        <v>621</v>
      </c>
      <c r="AL63" s="245">
        <v>0</v>
      </c>
      <c r="AM63" s="245">
        <v>0</v>
      </c>
      <c r="AN63" s="245" t="s">
        <v>621</v>
      </c>
      <c r="AO63" s="245" t="s">
        <v>621</v>
      </c>
      <c r="AP63" s="245" t="s">
        <v>621</v>
      </c>
      <c r="AQ63" s="245" t="s">
        <v>621</v>
      </c>
      <c r="AR63" s="245" t="s">
        <v>621</v>
      </c>
      <c r="AS63" s="245">
        <v>0</v>
      </c>
      <c r="AT63" s="245">
        <v>0</v>
      </c>
      <c r="AU63" s="245" t="s">
        <v>621</v>
      </c>
      <c r="AV63" s="245" t="s">
        <v>621</v>
      </c>
      <c r="AW63" s="245" t="s">
        <v>621</v>
      </c>
      <c r="AX63" s="245" t="s">
        <v>621</v>
      </c>
      <c r="AY63" s="245" t="s">
        <v>621</v>
      </c>
      <c r="AZ63" s="245">
        <v>0</v>
      </c>
      <c r="BA63" s="245">
        <v>0</v>
      </c>
      <c r="BB63" s="245" t="s">
        <v>621</v>
      </c>
      <c r="BC63" s="245" t="s">
        <v>621</v>
      </c>
      <c r="BD63" s="245" t="s">
        <v>621</v>
      </c>
      <c r="BE63" s="245" t="s">
        <v>621</v>
      </c>
      <c r="BF63" s="245" t="s">
        <v>621</v>
      </c>
      <c r="BG63" s="245">
        <v>0</v>
      </c>
      <c r="BH63" s="245">
        <v>0</v>
      </c>
      <c r="BI63" s="245" t="s">
        <v>621</v>
      </c>
      <c r="BJ63" s="245" t="s">
        <v>621</v>
      </c>
      <c r="BK63" s="245" t="s">
        <v>621</v>
      </c>
      <c r="BL63" s="245" t="s">
        <v>621</v>
      </c>
      <c r="BM63" s="245" t="s">
        <v>621</v>
      </c>
      <c r="BN63" s="245">
        <v>0</v>
      </c>
      <c r="BO63" s="245">
        <v>0</v>
      </c>
      <c r="BP63" s="245" t="s">
        <v>621</v>
      </c>
      <c r="BQ63" s="245" t="s">
        <v>621</v>
      </c>
      <c r="BR63" s="245" t="s">
        <v>621</v>
      </c>
      <c r="BS63" s="245" t="s">
        <v>621</v>
      </c>
      <c r="BT63" s="245" t="s">
        <v>621</v>
      </c>
      <c r="BU63" s="245">
        <v>0</v>
      </c>
      <c r="BV63" s="245">
        <f>'4'!BL64</f>
        <v>1.03</v>
      </c>
      <c r="BW63" s="245" t="s">
        <v>621</v>
      </c>
      <c r="BX63" s="245" t="s">
        <v>621</v>
      </c>
      <c r="BY63" s="245" t="s">
        <v>621</v>
      </c>
      <c r="BZ63" s="245" t="s">
        <v>621</v>
      </c>
      <c r="CA63" s="245" t="s">
        <v>621</v>
      </c>
      <c r="CB63" s="245" t="s">
        <v>621</v>
      </c>
      <c r="CC63" s="245">
        <v>1.03</v>
      </c>
      <c r="CD63" s="245" t="s">
        <v>621</v>
      </c>
      <c r="CE63" s="245" t="s">
        <v>621</v>
      </c>
      <c r="CF63" s="245" t="s">
        <v>621</v>
      </c>
      <c r="CG63" s="245" t="s">
        <v>621</v>
      </c>
      <c r="CH63" s="245" t="s">
        <v>621</v>
      </c>
      <c r="CI63" s="245" t="s">
        <v>621</v>
      </c>
      <c r="CJ63" s="245" t="s">
        <v>621</v>
      </c>
      <c r="CK63" s="245" t="s">
        <v>621</v>
      </c>
      <c r="CL63" s="245" t="s">
        <v>621</v>
      </c>
      <c r="CM63" s="245" t="s">
        <v>621</v>
      </c>
      <c r="CN63" s="245" t="s">
        <v>621</v>
      </c>
      <c r="CO63" s="245" t="s">
        <v>621</v>
      </c>
      <c r="CP63" s="245">
        <v>0</v>
      </c>
      <c r="CQ63" s="245" t="s">
        <v>621</v>
      </c>
      <c r="CR63" s="245" t="s">
        <v>621</v>
      </c>
      <c r="CS63" s="245" t="s">
        <v>621</v>
      </c>
      <c r="CT63" s="245" t="s">
        <v>621</v>
      </c>
      <c r="CU63" s="245" t="s">
        <v>621</v>
      </c>
      <c r="CV63" s="245" t="s">
        <v>621</v>
      </c>
      <c r="CW63" s="245">
        <v>0</v>
      </c>
      <c r="CX63" s="245">
        <f t="shared" si="4"/>
        <v>1.03</v>
      </c>
      <c r="CY63" s="245" t="s">
        <v>621</v>
      </c>
      <c r="CZ63" s="245" t="s">
        <v>621</v>
      </c>
      <c r="DA63" s="245" t="s">
        <v>621</v>
      </c>
      <c r="DB63" s="256" t="s">
        <v>621</v>
      </c>
      <c r="DC63" s="245" t="s">
        <v>621</v>
      </c>
      <c r="DD63" s="245">
        <v>0</v>
      </c>
      <c r="DE63" s="245">
        <v>1.03</v>
      </c>
      <c r="DF63" s="245" t="s">
        <v>621</v>
      </c>
      <c r="DG63" s="245" t="s">
        <v>621</v>
      </c>
      <c r="DH63" s="245" t="s">
        <v>621</v>
      </c>
      <c r="DI63" s="245" t="s">
        <v>621</v>
      </c>
      <c r="DJ63" s="245" t="s">
        <v>621</v>
      </c>
      <c r="DK63" s="245">
        <v>0</v>
      </c>
      <c r="DL63" s="245"/>
    </row>
    <row r="64" spans="1:116" s="340" customFormat="1" ht="30.75" x14ac:dyDescent="0.25">
      <c r="A64" s="153" t="s">
        <v>895</v>
      </c>
      <c r="B64" s="908" t="s">
        <v>879</v>
      </c>
      <c r="C64" s="911" t="s">
        <v>1067</v>
      </c>
      <c r="D64" s="245">
        <f>'4'!CN65</f>
        <v>0.63</v>
      </c>
      <c r="E64" s="245" t="s">
        <v>621</v>
      </c>
      <c r="F64" s="245" t="s">
        <v>621</v>
      </c>
      <c r="G64" s="245" t="s">
        <v>621</v>
      </c>
      <c r="H64" s="256" t="s">
        <v>621</v>
      </c>
      <c r="I64" s="245" t="s">
        <v>621</v>
      </c>
      <c r="J64" s="245">
        <v>0</v>
      </c>
      <c r="K64" s="245">
        <v>0.63</v>
      </c>
      <c r="L64" s="245" t="s">
        <v>621</v>
      </c>
      <c r="M64" s="245" t="s">
        <v>621</v>
      </c>
      <c r="N64" s="245" t="s">
        <v>621</v>
      </c>
      <c r="O64" s="245" t="s">
        <v>621</v>
      </c>
      <c r="P64" s="245" t="s">
        <v>621</v>
      </c>
      <c r="Q64" s="245">
        <v>0</v>
      </c>
      <c r="R64" s="245" t="s">
        <v>621</v>
      </c>
      <c r="S64" s="245" t="s">
        <v>621</v>
      </c>
      <c r="T64" s="245" t="s">
        <v>621</v>
      </c>
      <c r="U64" s="245" t="s">
        <v>621</v>
      </c>
      <c r="V64" s="245" t="s">
        <v>621</v>
      </c>
      <c r="W64" s="245" t="s">
        <v>621</v>
      </c>
      <c r="X64" s="245" t="s">
        <v>621</v>
      </c>
      <c r="Y64" s="245" t="s">
        <v>621</v>
      </c>
      <c r="Z64" s="245" t="s">
        <v>621</v>
      </c>
      <c r="AA64" s="245" t="s">
        <v>621</v>
      </c>
      <c r="AB64" s="245" t="s">
        <v>621</v>
      </c>
      <c r="AC64" s="245" t="s">
        <v>621</v>
      </c>
      <c r="AD64" s="245" t="s">
        <v>621</v>
      </c>
      <c r="AE64" s="245" t="s">
        <v>621</v>
      </c>
      <c r="AF64" s="245">
        <v>0</v>
      </c>
      <c r="AG64" s="245" t="s">
        <v>621</v>
      </c>
      <c r="AH64" s="245" t="s">
        <v>621</v>
      </c>
      <c r="AI64" s="245" t="s">
        <v>621</v>
      </c>
      <c r="AJ64" s="256" t="s">
        <v>621</v>
      </c>
      <c r="AK64" s="245" t="s">
        <v>621</v>
      </c>
      <c r="AL64" s="245">
        <v>0</v>
      </c>
      <c r="AM64" s="245">
        <v>0</v>
      </c>
      <c r="AN64" s="245" t="s">
        <v>621</v>
      </c>
      <c r="AO64" s="245" t="s">
        <v>621</v>
      </c>
      <c r="AP64" s="245" t="s">
        <v>621</v>
      </c>
      <c r="AQ64" s="245" t="s">
        <v>621</v>
      </c>
      <c r="AR64" s="245" t="s">
        <v>621</v>
      </c>
      <c r="AS64" s="245">
        <v>0</v>
      </c>
      <c r="AT64" s="245">
        <v>0</v>
      </c>
      <c r="AU64" s="245" t="s">
        <v>621</v>
      </c>
      <c r="AV64" s="245" t="s">
        <v>621</v>
      </c>
      <c r="AW64" s="245" t="s">
        <v>621</v>
      </c>
      <c r="AX64" s="245" t="s">
        <v>621</v>
      </c>
      <c r="AY64" s="245" t="s">
        <v>621</v>
      </c>
      <c r="AZ64" s="245">
        <v>0</v>
      </c>
      <c r="BA64" s="245">
        <v>0</v>
      </c>
      <c r="BB64" s="245" t="s">
        <v>621</v>
      </c>
      <c r="BC64" s="245" t="s">
        <v>621</v>
      </c>
      <c r="BD64" s="245" t="s">
        <v>621</v>
      </c>
      <c r="BE64" s="245" t="s">
        <v>621</v>
      </c>
      <c r="BF64" s="245" t="s">
        <v>621</v>
      </c>
      <c r="BG64" s="245">
        <v>0</v>
      </c>
      <c r="BH64" s="245">
        <v>0</v>
      </c>
      <c r="BI64" s="245" t="s">
        <v>621</v>
      </c>
      <c r="BJ64" s="245" t="s">
        <v>621</v>
      </c>
      <c r="BK64" s="245" t="s">
        <v>621</v>
      </c>
      <c r="BL64" s="245" t="s">
        <v>621</v>
      </c>
      <c r="BM64" s="245" t="s">
        <v>621</v>
      </c>
      <c r="BN64" s="245">
        <v>0</v>
      </c>
      <c r="BO64" s="245">
        <v>0</v>
      </c>
      <c r="BP64" s="245" t="s">
        <v>621</v>
      </c>
      <c r="BQ64" s="245" t="s">
        <v>621</v>
      </c>
      <c r="BR64" s="245" t="s">
        <v>621</v>
      </c>
      <c r="BS64" s="245" t="s">
        <v>621</v>
      </c>
      <c r="BT64" s="245" t="s">
        <v>621</v>
      </c>
      <c r="BU64" s="245">
        <v>0</v>
      </c>
      <c r="BV64" s="245">
        <f>'4'!BL65</f>
        <v>0.63</v>
      </c>
      <c r="BW64" s="245" t="s">
        <v>621</v>
      </c>
      <c r="BX64" s="245" t="s">
        <v>621</v>
      </c>
      <c r="BY64" s="245" t="s">
        <v>621</v>
      </c>
      <c r="BZ64" s="245" t="s">
        <v>621</v>
      </c>
      <c r="CA64" s="245" t="s">
        <v>621</v>
      </c>
      <c r="CB64" s="245" t="s">
        <v>621</v>
      </c>
      <c r="CC64" s="245">
        <v>0.63</v>
      </c>
      <c r="CD64" s="245" t="s">
        <v>621</v>
      </c>
      <c r="CE64" s="245" t="s">
        <v>621</v>
      </c>
      <c r="CF64" s="245" t="s">
        <v>621</v>
      </c>
      <c r="CG64" s="245" t="s">
        <v>621</v>
      </c>
      <c r="CH64" s="245" t="s">
        <v>621</v>
      </c>
      <c r="CI64" s="245" t="s">
        <v>621</v>
      </c>
      <c r="CJ64" s="245" t="s">
        <v>621</v>
      </c>
      <c r="CK64" s="245" t="s">
        <v>621</v>
      </c>
      <c r="CL64" s="245" t="s">
        <v>621</v>
      </c>
      <c r="CM64" s="245" t="s">
        <v>621</v>
      </c>
      <c r="CN64" s="245" t="s">
        <v>621</v>
      </c>
      <c r="CO64" s="245" t="s">
        <v>621</v>
      </c>
      <c r="CP64" s="245">
        <v>0</v>
      </c>
      <c r="CQ64" s="245" t="s">
        <v>621</v>
      </c>
      <c r="CR64" s="245" t="s">
        <v>621</v>
      </c>
      <c r="CS64" s="245" t="s">
        <v>621</v>
      </c>
      <c r="CT64" s="245" t="s">
        <v>621</v>
      </c>
      <c r="CU64" s="245" t="s">
        <v>621</v>
      </c>
      <c r="CV64" s="245" t="s">
        <v>621</v>
      </c>
      <c r="CW64" s="245">
        <v>0</v>
      </c>
      <c r="CX64" s="245">
        <f t="shared" si="4"/>
        <v>0.63</v>
      </c>
      <c r="CY64" s="245" t="s">
        <v>621</v>
      </c>
      <c r="CZ64" s="245" t="s">
        <v>621</v>
      </c>
      <c r="DA64" s="245" t="s">
        <v>621</v>
      </c>
      <c r="DB64" s="256" t="s">
        <v>621</v>
      </c>
      <c r="DC64" s="245" t="s">
        <v>621</v>
      </c>
      <c r="DD64" s="245">
        <v>0</v>
      </c>
      <c r="DE64" s="245">
        <v>0.63</v>
      </c>
      <c r="DF64" s="245" t="s">
        <v>621</v>
      </c>
      <c r="DG64" s="245" t="s">
        <v>621</v>
      </c>
      <c r="DH64" s="245" t="s">
        <v>621</v>
      </c>
      <c r="DI64" s="245" t="s">
        <v>621</v>
      </c>
      <c r="DJ64" s="245" t="s">
        <v>621</v>
      </c>
      <c r="DK64" s="245">
        <v>0</v>
      </c>
      <c r="DL64" s="245"/>
    </row>
    <row r="65" spans="1:116" s="340" customFormat="1" ht="30.75" x14ac:dyDescent="0.25">
      <c r="A65" s="153" t="s">
        <v>896</v>
      </c>
      <c r="B65" s="908" t="s">
        <v>880</v>
      </c>
      <c r="C65" s="911" t="s">
        <v>1068</v>
      </c>
      <c r="D65" s="245">
        <f>'4'!CN66</f>
        <v>0.63</v>
      </c>
      <c r="E65" s="245" t="s">
        <v>621</v>
      </c>
      <c r="F65" s="245" t="s">
        <v>621</v>
      </c>
      <c r="G65" s="245" t="s">
        <v>621</v>
      </c>
      <c r="H65" s="256" t="s">
        <v>621</v>
      </c>
      <c r="I65" s="245" t="s">
        <v>621</v>
      </c>
      <c r="J65" s="245">
        <v>0</v>
      </c>
      <c r="K65" s="245">
        <v>0.63</v>
      </c>
      <c r="L65" s="245" t="s">
        <v>621</v>
      </c>
      <c r="M65" s="245" t="s">
        <v>621</v>
      </c>
      <c r="N65" s="245" t="s">
        <v>621</v>
      </c>
      <c r="O65" s="245" t="s">
        <v>621</v>
      </c>
      <c r="P65" s="245" t="s">
        <v>621</v>
      </c>
      <c r="Q65" s="245">
        <v>0</v>
      </c>
      <c r="R65" s="245" t="s">
        <v>621</v>
      </c>
      <c r="S65" s="245" t="s">
        <v>621</v>
      </c>
      <c r="T65" s="245" t="s">
        <v>621</v>
      </c>
      <c r="U65" s="245" t="s">
        <v>621</v>
      </c>
      <c r="V65" s="245" t="s">
        <v>621</v>
      </c>
      <c r="W65" s="245" t="s">
        <v>621</v>
      </c>
      <c r="X65" s="245" t="s">
        <v>621</v>
      </c>
      <c r="Y65" s="245" t="s">
        <v>621</v>
      </c>
      <c r="Z65" s="245" t="s">
        <v>621</v>
      </c>
      <c r="AA65" s="245" t="s">
        <v>621</v>
      </c>
      <c r="AB65" s="245" t="s">
        <v>621</v>
      </c>
      <c r="AC65" s="245" t="s">
        <v>621</v>
      </c>
      <c r="AD65" s="245" t="s">
        <v>621</v>
      </c>
      <c r="AE65" s="245" t="s">
        <v>621</v>
      </c>
      <c r="AF65" s="245">
        <v>0</v>
      </c>
      <c r="AG65" s="245" t="s">
        <v>621</v>
      </c>
      <c r="AH65" s="245" t="s">
        <v>621</v>
      </c>
      <c r="AI65" s="245" t="s">
        <v>621</v>
      </c>
      <c r="AJ65" s="256" t="s">
        <v>621</v>
      </c>
      <c r="AK65" s="245" t="s">
        <v>621</v>
      </c>
      <c r="AL65" s="245">
        <v>0</v>
      </c>
      <c r="AM65" s="245">
        <v>0</v>
      </c>
      <c r="AN65" s="245" t="s">
        <v>621</v>
      </c>
      <c r="AO65" s="245" t="s">
        <v>621</v>
      </c>
      <c r="AP65" s="245" t="s">
        <v>621</v>
      </c>
      <c r="AQ65" s="245" t="s">
        <v>621</v>
      </c>
      <c r="AR65" s="245" t="s">
        <v>621</v>
      </c>
      <c r="AS65" s="245">
        <v>0</v>
      </c>
      <c r="AT65" s="245">
        <v>0</v>
      </c>
      <c r="AU65" s="245" t="s">
        <v>621</v>
      </c>
      <c r="AV65" s="245" t="s">
        <v>621</v>
      </c>
      <c r="AW65" s="245" t="s">
        <v>621</v>
      </c>
      <c r="AX65" s="245" t="s">
        <v>621</v>
      </c>
      <c r="AY65" s="245" t="s">
        <v>621</v>
      </c>
      <c r="AZ65" s="245">
        <v>0</v>
      </c>
      <c r="BA65" s="245">
        <v>0</v>
      </c>
      <c r="BB65" s="245" t="s">
        <v>621</v>
      </c>
      <c r="BC65" s="245" t="s">
        <v>621</v>
      </c>
      <c r="BD65" s="245" t="s">
        <v>621</v>
      </c>
      <c r="BE65" s="245" t="s">
        <v>621</v>
      </c>
      <c r="BF65" s="245" t="s">
        <v>621</v>
      </c>
      <c r="BG65" s="245">
        <v>0</v>
      </c>
      <c r="BH65" s="245">
        <v>0</v>
      </c>
      <c r="BI65" s="245" t="s">
        <v>621</v>
      </c>
      <c r="BJ65" s="245" t="s">
        <v>621</v>
      </c>
      <c r="BK65" s="245" t="s">
        <v>621</v>
      </c>
      <c r="BL65" s="245" t="s">
        <v>621</v>
      </c>
      <c r="BM65" s="245" t="s">
        <v>621</v>
      </c>
      <c r="BN65" s="245">
        <v>0</v>
      </c>
      <c r="BO65" s="245">
        <v>0</v>
      </c>
      <c r="BP65" s="245" t="s">
        <v>621</v>
      </c>
      <c r="BQ65" s="245" t="s">
        <v>621</v>
      </c>
      <c r="BR65" s="245" t="s">
        <v>621</v>
      </c>
      <c r="BS65" s="245" t="s">
        <v>621</v>
      </c>
      <c r="BT65" s="245" t="s">
        <v>621</v>
      </c>
      <c r="BU65" s="245">
        <v>0</v>
      </c>
      <c r="BV65" s="245">
        <f>'4'!BL66</f>
        <v>0.63</v>
      </c>
      <c r="BW65" s="245" t="s">
        <v>621</v>
      </c>
      <c r="BX65" s="245" t="s">
        <v>621</v>
      </c>
      <c r="BY65" s="245" t="s">
        <v>621</v>
      </c>
      <c r="BZ65" s="245" t="s">
        <v>621</v>
      </c>
      <c r="CA65" s="245" t="s">
        <v>621</v>
      </c>
      <c r="CB65" s="245" t="s">
        <v>621</v>
      </c>
      <c r="CC65" s="245">
        <v>0.63</v>
      </c>
      <c r="CD65" s="245" t="s">
        <v>621</v>
      </c>
      <c r="CE65" s="245" t="s">
        <v>621</v>
      </c>
      <c r="CF65" s="245" t="s">
        <v>621</v>
      </c>
      <c r="CG65" s="245" t="s">
        <v>621</v>
      </c>
      <c r="CH65" s="245" t="s">
        <v>621</v>
      </c>
      <c r="CI65" s="245" t="s">
        <v>621</v>
      </c>
      <c r="CJ65" s="245" t="s">
        <v>621</v>
      </c>
      <c r="CK65" s="245" t="s">
        <v>621</v>
      </c>
      <c r="CL65" s="245" t="s">
        <v>621</v>
      </c>
      <c r="CM65" s="245" t="s">
        <v>621</v>
      </c>
      <c r="CN65" s="245" t="s">
        <v>621</v>
      </c>
      <c r="CO65" s="245" t="s">
        <v>621</v>
      </c>
      <c r="CP65" s="245">
        <v>0</v>
      </c>
      <c r="CQ65" s="245" t="s">
        <v>621</v>
      </c>
      <c r="CR65" s="245" t="s">
        <v>621</v>
      </c>
      <c r="CS65" s="245" t="s">
        <v>621</v>
      </c>
      <c r="CT65" s="245" t="s">
        <v>621</v>
      </c>
      <c r="CU65" s="245" t="s">
        <v>621</v>
      </c>
      <c r="CV65" s="245" t="s">
        <v>621</v>
      </c>
      <c r="CW65" s="245">
        <v>0</v>
      </c>
      <c r="CX65" s="245">
        <f t="shared" si="4"/>
        <v>0.63</v>
      </c>
      <c r="CY65" s="245" t="s">
        <v>621</v>
      </c>
      <c r="CZ65" s="245" t="s">
        <v>621</v>
      </c>
      <c r="DA65" s="245" t="s">
        <v>621</v>
      </c>
      <c r="DB65" s="256" t="s">
        <v>621</v>
      </c>
      <c r="DC65" s="245" t="s">
        <v>621</v>
      </c>
      <c r="DD65" s="245">
        <v>0</v>
      </c>
      <c r="DE65" s="245">
        <v>0.63</v>
      </c>
      <c r="DF65" s="245" t="s">
        <v>621</v>
      </c>
      <c r="DG65" s="245" t="s">
        <v>621</v>
      </c>
      <c r="DH65" s="245" t="s">
        <v>621</v>
      </c>
      <c r="DI65" s="245" t="s">
        <v>621</v>
      </c>
      <c r="DJ65" s="245" t="s">
        <v>621</v>
      </c>
      <c r="DK65" s="245">
        <v>0</v>
      </c>
      <c r="DL65" s="245"/>
    </row>
    <row r="66" spans="1:116" s="340" customFormat="1" ht="30.75" x14ac:dyDescent="0.25">
      <c r="A66" s="153" t="s">
        <v>897</v>
      </c>
      <c r="B66" s="908" t="s">
        <v>881</v>
      </c>
      <c r="C66" s="911" t="s">
        <v>1069</v>
      </c>
      <c r="D66" s="245">
        <f>'4'!CN67</f>
        <v>0.8</v>
      </c>
      <c r="E66" s="245" t="s">
        <v>621</v>
      </c>
      <c r="F66" s="245" t="s">
        <v>621</v>
      </c>
      <c r="G66" s="245" t="s">
        <v>621</v>
      </c>
      <c r="H66" s="256" t="s">
        <v>621</v>
      </c>
      <c r="I66" s="245" t="s">
        <v>621</v>
      </c>
      <c r="J66" s="245">
        <v>0</v>
      </c>
      <c r="K66" s="245">
        <v>0.8</v>
      </c>
      <c r="L66" s="245" t="s">
        <v>621</v>
      </c>
      <c r="M66" s="245" t="s">
        <v>621</v>
      </c>
      <c r="N66" s="245" t="s">
        <v>621</v>
      </c>
      <c r="O66" s="245" t="s">
        <v>621</v>
      </c>
      <c r="P66" s="245" t="s">
        <v>621</v>
      </c>
      <c r="Q66" s="245">
        <v>0</v>
      </c>
      <c r="R66" s="245" t="s">
        <v>621</v>
      </c>
      <c r="S66" s="245" t="s">
        <v>621</v>
      </c>
      <c r="T66" s="245" t="s">
        <v>621</v>
      </c>
      <c r="U66" s="245" t="s">
        <v>621</v>
      </c>
      <c r="V66" s="245" t="s">
        <v>621</v>
      </c>
      <c r="W66" s="245" t="s">
        <v>621</v>
      </c>
      <c r="X66" s="245" t="s">
        <v>621</v>
      </c>
      <c r="Y66" s="245" t="s">
        <v>621</v>
      </c>
      <c r="Z66" s="245" t="s">
        <v>621</v>
      </c>
      <c r="AA66" s="245" t="s">
        <v>621</v>
      </c>
      <c r="AB66" s="245" t="s">
        <v>621</v>
      </c>
      <c r="AC66" s="245" t="s">
        <v>621</v>
      </c>
      <c r="AD66" s="245" t="s">
        <v>621</v>
      </c>
      <c r="AE66" s="245" t="s">
        <v>621</v>
      </c>
      <c r="AF66" s="245">
        <v>0</v>
      </c>
      <c r="AG66" s="245" t="s">
        <v>621</v>
      </c>
      <c r="AH66" s="245" t="s">
        <v>621</v>
      </c>
      <c r="AI66" s="245" t="s">
        <v>621</v>
      </c>
      <c r="AJ66" s="256" t="s">
        <v>621</v>
      </c>
      <c r="AK66" s="245" t="s">
        <v>621</v>
      </c>
      <c r="AL66" s="245">
        <v>0</v>
      </c>
      <c r="AM66" s="245">
        <v>0</v>
      </c>
      <c r="AN66" s="245" t="s">
        <v>621</v>
      </c>
      <c r="AO66" s="245" t="s">
        <v>621</v>
      </c>
      <c r="AP66" s="245" t="s">
        <v>621</v>
      </c>
      <c r="AQ66" s="245" t="s">
        <v>621</v>
      </c>
      <c r="AR66" s="245" t="s">
        <v>621</v>
      </c>
      <c r="AS66" s="245">
        <v>0</v>
      </c>
      <c r="AT66" s="245">
        <v>0</v>
      </c>
      <c r="AU66" s="245" t="s">
        <v>621</v>
      </c>
      <c r="AV66" s="245" t="s">
        <v>621</v>
      </c>
      <c r="AW66" s="245" t="s">
        <v>621</v>
      </c>
      <c r="AX66" s="245" t="s">
        <v>621</v>
      </c>
      <c r="AY66" s="245" t="s">
        <v>621</v>
      </c>
      <c r="AZ66" s="245">
        <v>0</v>
      </c>
      <c r="BA66" s="245">
        <v>0</v>
      </c>
      <c r="BB66" s="245" t="s">
        <v>621</v>
      </c>
      <c r="BC66" s="245" t="s">
        <v>621</v>
      </c>
      <c r="BD66" s="245" t="s">
        <v>621</v>
      </c>
      <c r="BE66" s="245" t="s">
        <v>621</v>
      </c>
      <c r="BF66" s="245" t="s">
        <v>621</v>
      </c>
      <c r="BG66" s="245">
        <v>0</v>
      </c>
      <c r="BH66" s="245">
        <v>0</v>
      </c>
      <c r="BI66" s="245" t="s">
        <v>621</v>
      </c>
      <c r="BJ66" s="245" t="s">
        <v>621</v>
      </c>
      <c r="BK66" s="245" t="s">
        <v>621</v>
      </c>
      <c r="BL66" s="245" t="s">
        <v>621</v>
      </c>
      <c r="BM66" s="245" t="s">
        <v>621</v>
      </c>
      <c r="BN66" s="245">
        <v>0</v>
      </c>
      <c r="BO66" s="245">
        <v>0</v>
      </c>
      <c r="BP66" s="245" t="s">
        <v>621</v>
      </c>
      <c r="BQ66" s="245" t="s">
        <v>621</v>
      </c>
      <c r="BR66" s="245" t="s">
        <v>621</v>
      </c>
      <c r="BS66" s="245" t="s">
        <v>621</v>
      </c>
      <c r="BT66" s="245" t="s">
        <v>621</v>
      </c>
      <c r="BU66" s="245">
        <v>0</v>
      </c>
      <c r="BV66" s="245">
        <f>'4'!BL67</f>
        <v>0.8</v>
      </c>
      <c r="BW66" s="245" t="s">
        <v>621</v>
      </c>
      <c r="BX66" s="245" t="s">
        <v>621</v>
      </c>
      <c r="BY66" s="245" t="s">
        <v>621</v>
      </c>
      <c r="BZ66" s="245" t="s">
        <v>621</v>
      </c>
      <c r="CA66" s="245" t="s">
        <v>621</v>
      </c>
      <c r="CB66" s="245" t="s">
        <v>621</v>
      </c>
      <c r="CC66" s="245">
        <v>0.8</v>
      </c>
      <c r="CD66" s="245" t="s">
        <v>621</v>
      </c>
      <c r="CE66" s="245" t="s">
        <v>621</v>
      </c>
      <c r="CF66" s="245" t="s">
        <v>621</v>
      </c>
      <c r="CG66" s="245" t="s">
        <v>621</v>
      </c>
      <c r="CH66" s="245" t="s">
        <v>621</v>
      </c>
      <c r="CI66" s="245" t="s">
        <v>621</v>
      </c>
      <c r="CJ66" s="245" t="s">
        <v>621</v>
      </c>
      <c r="CK66" s="245" t="s">
        <v>621</v>
      </c>
      <c r="CL66" s="245" t="s">
        <v>621</v>
      </c>
      <c r="CM66" s="245" t="s">
        <v>621</v>
      </c>
      <c r="CN66" s="245" t="s">
        <v>621</v>
      </c>
      <c r="CO66" s="245" t="s">
        <v>621</v>
      </c>
      <c r="CP66" s="245">
        <v>0</v>
      </c>
      <c r="CQ66" s="245" t="s">
        <v>621</v>
      </c>
      <c r="CR66" s="245" t="s">
        <v>621</v>
      </c>
      <c r="CS66" s="245" t="s">
        <v>621</v>
      </c>
      <c r="CT66" s="245" t="s">
        <v>621</v>
      </c>
      <c r="CU66" s="245" t="s">
        <v>621</v>
      </c>
      <c r="CV66" s="245" t="s">
        <v>621</v>
      </c>
      <c r="CW66" s="245">
        <v>0</v>
      </c>
      <c r="CX66" s="245">
        <f t="shared" si="4"/>
        <v>0.8</v>
      </c>
      <c r="CY66" s="245" t="s">
        <v>621</v>
      </c>
      <c r="CZ66" s="245" t="s">
        <v>621</v>
      </c>
      <c r="DA66" s="245" t="s">
        <v>621</v>
      </c>
      <c r="DB66" s="256" t="s">
        <v>621</v>
      </c>
      <c r="DC66" s="245" t="s">
        <v>621</v>
      </c>
      <c r="DD66" s="245">
        <v>0</v>
      </c>
      <c r="DE66" s="245">
        <v>0.8</v>
      </c>
      <c r="DF66" s="245" t="s">
        <v>621</v>
      </c>
      <c r="DG66" s="245" t="s">
        <v>621</v>
      </c>
      <c r="DH66" s="245" t="s">
        <v>621</v>
      </c>
      <c r="DI66" s="245" t="s">
        <v>621</v>
      </c>
      <c r="DJ66" s="245" t="s">
        <v>621</v>
      </c>
      <c r="DK66" s="245">
        <v>0</v>
      </c>
      <c r="DL66" s="245"/>
    </row>
    <row r="67" spans="1:116" s="340" customFormat="1" ht="30.75" x14ac:dyDescent="0.25">
      <c r="A67" s="153" t="s">
        <v>898</v>
      </c>
      <c r="B67" s="908" t="s">
        <v>882</v>
      </c>
      <c r="C67" s="911" t="s">
        <v>1070</v>
      </c>
      <c r="D67" s="245">
        <f>'4'!CN68</f>
        <v>1.26</v>
      </c>
      <c r="E67" s="245" t="s">
        <v>621</v>
      </c>
      <c r="F67" s="245" t="s">
        <v>621</v>
      </c>
      <c r="G67" s="245" t="s">
        <v>621</v>
      </c>
      <c r="H67" s="256" t="s">
        <v>621</v>
      </c>
      <c r="I67" s="245" t="s">
        <v>621</v>
      </c>
      <c r="J67" s="245">
        <v>0</v>
      </c>
      <c r="K67" s="245">
        <v>1.26</v>
      </c>
      <c r="L67" s="245" t="s">
        <v>621</v>
      </c>
      <c r="M67" s="245" t="s">
        <v>621</v>
      </c>
      <c r="N67" s="245" t="s">
        <v>621</v>
      </c>
      <c r="O67" s="245" t="s">
        <v>621</v>
      </c>
      <c r="P67" s="245" t="s">
        <v>621</v>
      </c>
      <c r="Q67" s="245">
        <v>0</v>
      </c>
      <c r="R67" s="245" t="s">
        <v>621</v>
      </c>
      <c r="S67" s="245" t="s">
        <v>621</v>
      </c>
      <c r="T67" s="245" t="s">
        <v>621</v>
      </c>
      <c r="U67" s="245" t="s">
        <v>621</v>
      </c>
      <c r="V67" s="245" t="s">
        <v>621</v>
      </c>
      <c r="W67" s="245" t="s">
        <v>621</v>
      </c>
      <c r="X67" s="245" t="s">
        <v>621</v>
      </c>
      <c r="Y67" s="245" t="s">
        <v>621</v>
      </c>
      <c r="Z67" s="245" t="s">
        <v>621</v>
      </c>
      <c r="AA67" s="245" t="s">
        <v>621</v>
      </c>
      <c r="AB67" s="245" t="s">
        <v>621</v>
      </c>
      <c r="AC67" s="245" t="s">
        <v>621</v>
      </c>
      <c r="AD67" s="245" t="s">
        <v>621</v>
      </c>
      <c r="AE67" s="245" t="s">
        <v>621</v>
      </c>
      <c r="AF67" s="245">
        <v>0</v>
      </c>
      <c r="AG67" s="245" t="s">
        <v>621</v>
      </c>
      <c r="AH67" s="245" t="s">
        <v>621</v>
      </c>
      <c r="AI67" s="245" t="s">
        <v>621</v>
      </c>
      <c r="AJ67" s="256" t="s">
        <v>621</v>
      </c>
      <c r="AK67" s="245" t="s">
        <v>621</v>
      </c>
      <c r="AL67" s="245">
        <v>0</v>
      </c>
      <c r="AM67" s="245">
        <v>0</v>
      </c>
      <c r="AN67" s="245" t="s">
        <v>621</v>
      </c>
      <c r="AO67" s="245" t="s">
        <v>621</v>
      </c>
      <c r="AP67" s="245" t="s">
        <v>621</v>
      </c>
      <c r="AQ67" s="245" t="s">
        <v>621</v>
      </c>
      <c r="AR67" s="245" t="s">
        <v>621</v>
      </c>
      <c r="AS67" s="245">
        <v>0</v>
      </c>
      <c r="AT67" s="245">
        <v>0</v>
      </c>
      <c r="AU67" s="245" t="s">
        <v>621</v>
      </c>
      <c r="AV67" s="245" t="s">
        <v>621</v>
      </c>
      <c r="AW67" s="245" t="s">
        <v>621</v>
      </c>
      <c r="AX67" s="245" t="s">
        <v>621</v>
      </c>
      <c r="AY67" s="245" t="s">
        <v>621</v>
      </c>
      <c r="AZ67" s="245">
        <v>0</v>
      </c>
      <c r="BA67" s="245">
        <v>0</v>
      </c>
      <c r="BB67" s="245" t="s">
        <v>621</v>
      </c>
      <c r="BC67" s="245" t="s">
        <v>621</v>
      </c>
      <c r="BD67" s="245" t="s">
        <v>621</v>
      </c>
      <c r="BE67" s="245" t="s">
        <v>621</v>
      </c>
      <c r="BF67" s="245" t="s">
        <v>621</v>
      </c>
      <c r="BG67" s="245">
        <v>0</v>
      </c>
      <c r="BH67" s="245">
        <v>0</v>
      </c>
      <c r="BI67" s="245" t="s">
        <v>621</v>
      </c>
      <c r="BJ67" s="245" t="s">
        <v>621</v>
      </c>
      <c r="BK67" s="245" t="s">
        <v>621</v>
      </c>
      <c r="BL67" s="245" t="s">
        <v>621</v>
      </c>
      <c r="BM67" s="245" t="s">
        <v>621</v>
      </c>
      <c r="BN67" s="245">
        <v>0</v>
      </c>
      <c r="BO67" s="245">
        <v>0</v>
      </c>
      <c r="BP67" s="245" t="s">
        <v>621</v>
      </c>
      <c r="BQ67" s="245" t="s">
        <v>621</v>
      </c>
      <c r="BR67" s="245" t="s">
        <v>621</v>
      </c>
      <c r="BS67" s="245" t="s">
        <v>621</v>
      </c>
      <c r="BT67" s="245" t="s">
        <v>621</v>
      </c>
      <c r="BU67" s="245">
        <v>0</v>
      </c>
      <c r="BV67" s="245">
        <f>'4'!BL68</f>
        <v>1.26</v>
      </c>
      <c r="BW67" s="245" t="s">
        <v>621</v>
      </c>
      <c r="BX67" s="245" t="s">
        <v>621</v>
      </c>
      <c r="BY67" s="245" t="s">
        <v>621</v>
      </c>
      <c r="BZ67" s="245" t="s">
        <v>621</v>
      </c>
      <c r="CA67" s="245" t="s">
        <v>621</v>
      </c>
      <c r="CB67" s="245" t="s">
        <v>621</v>
      </c>
      <c r="CC67" s="245">
        <v>1.26</v>
      </c>
      <c r="CD67" s="245" t="s">
        <v>621</v>
      </c>
      <c r="CE67" s="245" t="s">
        <v>621</v>
      </c>
      <c r="CF67" s="245" t="s">
        <v>621</v>
      </c>
      <c r="CG67" s="245" t="s">
        <v>621</v>
      </c>
      <c r="CH67" s="245" t="s">
        <v>621</v>
      </c>
      <c r="CI67" s="245" t="s">
        <v>621</v>
      </c>
      <c r="CJ67" s="245" t="s">
        <v>621</v>
      </c>
      <c r="CK67" s="245" t="s">
        <v>621</v>
      </c>
      <c r="CL67" s="245" t="s">
        <v>621</v>
      </c>
      <c r="CM67" s="245" t="s">
        <v>621</v>
      </c>
      <c r="CN67" s="245" t="s">
        <v>621</v>
      </c>
      <c r="CO67" s="245" t="s">
        <v>621</v>
      </c>
      <c r="CP67" s="245">
        <v>0</v>
      </c>
      <c r="CQ67" s="245" t="s">
        <v>621</v>
      </c>
      <c r="CR67" s="245" t="s">
        <v>621</v>
      </c>
      <c r="CS67" s="245" t="s">
        <v>621</v>
      </c>
      <c r="CT67" s="245" t="s">
        <v>621</v>
      </c>
      <c r="CU67" s="245" t="s">
        <v>621</v>
      </c>
      <c r="CV67" s="245" t="s">
        <v>621</v>
      </c>
      <c r="CW67" s="245">
        <v>0</v>
      </c>
      <c r="CX67" s="245">
        <f t="shared" si="4"/>
        <v>1.26</v>
      </c>
      <c r="CY67" s="245" t="s">
        <v>621</v>
      </c>
      <c r="CZ67" s="245" t="s">
        <v>621</v>
      </c>
      <c r="DA67" s="245" t="s">
        <v>621</v>
      </c>
      <c r="DB67" s="256" t="s">
        <v>621</v>
      </c>
      <c r="DC67" s="245" t="s">
        <v>621</v>
      </c>
      <c r="DD67" s="245">
        <v>0</v>
      </c>
      <c r="DE67" s="245">
        <v>1.26</v>
      </c>
      <c r="DF67" s="245" t="s">
        <v>621</v>
      </c>
      <c r="DG67" s="245" t="s">
        <v>621</v>
      </c>
      <c r="DH67" s="245" t="s">
        <v>621</v>
      </c>
      <c r="DI67" s="245" t="s">
        <v>621</v>
      </c>
      <c r="DJ67" s="245" t="s">
        <v>621</v>
      </c>
      <c r="DK67" s="245">
        <v>0</v>
      </c>
      <c r="DL67" s="245"/>
    </row>
    <row r="68" spans="1:116" s="340" customFormat="1" ht="30.75" x14ac:dyDescent="0.25">
      <c r="A68" s="153" t="s">
        <v>899</v>
      </c>
      <c r="B68" s="908" t="s">
        <v>883</v>
      </c>
      <c r="C68" s="911" t="s">
        <v>1071</v>
      </c>
      <c r="D68" s="245">
        <f>'4'!CN69</f>
        <v>1.26</v>
      </c>
      <c r="E68" s="245" t="s">
        <v>621</v>
      </c>
      <c r="F68" s="245" t="s">
        <v>621</v>
      </c>
      <c r="G68" s="245" t="s">
        <v>621</v>
      </c>
      <c r="H68" s="256" t="s">
        <v>621</v>
      </c>
      <c r="I68" s="245" t="s">
        <v>621</v>
      </c>
      <c r="J68" s="245">
        <v>0</v>
      </c>
      <c r="K68" s="245">
        <v>1.26</v>
      </c>
      <c r="L68" s="245" t="s">
        <v>621</v>
      </c>
      <c r="M68" s="245" t="s">
        <v>621</v>
      </c>
      <c r="N68" s="245" t="s">
        <v>621</v>
      </c>
      <c r="O68" s="245" t="s">
        <v>621</v>
      </c>
      <c r="P68" s="245" t="s">
        <v>621</v>
      </c>
      <c r="Q68" s="245">
        <v>0</v>
      </c>
      <c r="R68" s="245" t="s">
        <v>621</v>
      </c>
      <c r="S68" s="245" t="s">
        <v>621</v>
      </c>
      <c r="T68" s="245" t="s">
        <v>621</v>
      </c>
      <c r="U68" s="245" t="s">
        <v>621</v>
      </c>
      <c r="V68" s="245" t="s">
        <v>621</v>
      </c>
      <c r="W68" s="245" t="s">
        <v>621</v>
      </c>
      <c r="X68" s="245" t="s">
        <v>621</v>
      </c>
      <c r="Y68" s="245" t="s">
        <v>621</v>
      </c>
      <c r="Z68" s="245" t="s">
        <v>621</v>
      </c>
      <c r="AA68" s="245" t="s">
        <v>621</v>
      </c>
      <c r="AB68" s="245" t="s">
        <v>621</v>
      </c>
      <c r="AC68" s="245" t="s">
        <v>621</v>
      </c>
      <c r="AD68" s="245" t="s">
        <v>621</v>
      </c>
      <c r="AE68" s="245" t="s">
        <v>621</v>
      </c>
      <c r="AF68" s="245">
        <v>0</v>
      </c>
      <c r="AG68" s="245" t="s">
        <v>621</v>
      </c>
      <c r="AH68" s="245" t="s">
        <v>621</v>
      </c>
      <c r="AI68" s="245" t="s">
        <v>621</v>
      </c>
      <c r="AJ68" s="256" t="s">
        <v>621</v>
      </c>
      <c r="AK68" s="245" t="s">
        <v>621</v>
      </c>
      <c r="AL68" s="245">
        <v>0</v>
      </c>
      <c r="AM68" s="245">
        <v>0</v>
      </c>
      <c r="AN68" s="245" t="s">
        <v>621</v>
      </c>
      <c r="AO68" s="245" t="s">
        <v>621</v>
      </c>
      <c r="AP68" s="245" t="s">
        <v>621</v>
      </c>
      <c r="AQ68" s="245" t="s">
        <v>621</v>
      </c>
      <c r="AR68" s="245" t="s">
        <v>621</v>
      </c>
      <c r="AS68" s="245">
        <v>0</v>
      </c>
      <c r="AT68" s="245">
        <v>0</v>
      </c>
      <c r="AU68" s="245" t="s">
        <v>621</v>
      </c>
      <c r="AV68" s="245" t="s">
        <v>621</v>
      </c>
      <c r="AW68" s="245" t="s">
        <v>621</v>
      </c>
      <c r="AX68" s="245" t="s">
        <v>621</v>
      </c>
      <c r="AY68" s="245" t="s">
        <v>621</v>
      </c>
      <c r="AZ68" s="245">
        <v>0</v>
      </c>
      <c r="BA68" s="245">
        <v>0</v>
      </c>
      <c r="BB68" s="245" t="s">
        <v>621</v>
      </c>
      <c r="BC68" s="245" t="s">
        <v>621</v>
      </c>
      <c r="BD68" s="245" t="s">
        <v>621</v>
      </c>
      <c r="BE68" s="245" t="s">
        <v>621</v>
      </c>
      <c r="BF68" s="245" t="s">
        <v>621</v>
      </c>
      <c r="BG68" s="245">
        <v>0</v>
      </c>
      <c r="BH68" s="245">
        <v>0</v>
      </c>
      <c r="BI68" s="245" t="s">
        <v>621</v>
      </c>
      <c r="BJ68" s="245" t="s">
        <v>621</v>
      </c>
      <c r="BK68" s="245" t="s">
        <v>621</v>
      </c>
      <c r="BL68" s="245" t="s">
        <v>621</v>
      </c>
      <c r="BM68" s="245" t="s">
        <v>621</v>
      </c>
      <c r="BN68" s="245">
        <v>0</v>
      </c>
      <c r="BO68" s="245">
        <v>0</v>
      </c>
      <c r="BP68" s="245" t="s">
        <v>621</v>
      </c>
      <c r="BQ68" s="245" t="s">
        <v>621</v>
      </c>
      <c r="BR68" s="245" t="s">
        <v>621</v>
      </c>
      <c r="BS68" s="245" t="s">
        <v>621</v>
      </c>
      <c r="BT68" s="245" t="s">
        <v>621</v>
      </c>
      <c r="BU68" s="245">
        <v>0</v>
      </c>
      <c r="BV68" s="245">
        <f>'4'!BL69</f>
        <v>1.26</v>
      </c>
      <c r="BW68" s="245" t="s">
        <v>621</v>
      </c>
      <c r="BX68" s="245" t="s">
        <v>621</v>
      </c>
      <c r="BY68" s="245" t="s">
        <v>621</v>
      </c>
      <c r="BZ68" s="245" t="s">
        <v>621</v>
      </c>
      <c r="CA68" s="245" t="s">
        <v>621</v>
      </c>
      <c r="CB68" s="245" t="s">
        <v>621</v>
      </c>
      <c r="CC68" s="245">
        <v>1.26</v>
      </c>
      <c r="CD68" s="245" t="s">
        <v>621</v>
      </c>
      <c r="CE68" s="245" t="s">
        <v>621</v>
      </c>
      <c r="CF68" s="245" t="s">
        <v>621</v>
      </c>
      <c r="CG68" s="245" t="s">
        <v>621</v>
      </c>
      <c r="CH68" s="245" t="s">
        <v>621</v>
      </c>
      <c r="CI68" s="245" t="s">
        <v>621</v>
      </c>
      <c r="CJ68" s="245" t="s">
        <v>621</v>
      </c>
      <c r="CK68" s="245" t="s">
        <v>621</v>
      </c>
      <c r="CL68" s="245" t="s">
        <v>621</v>
      </c>
      <c r="CM68" s="245" t="s">
        <v>621</v>
      </c>
      <c r="CN68" s="245" t="s">
        <v>621</v>
      </c>
      <c r="CO68" s="245" t="s">
        <v>621</v>
      </c>
      <c r="CP68" s="245">
        <v>0</v>
      </c>
      <c r="CQ68" s="245" t="s">
        <v>621</v>
      </c>
      <c r="CR68" s="245" t="s">
        <v>621</v>
      </c>
      <c r="CS68" s="245" t="s">
        <v>621</v>
      </c>
      <c r="CT68" s="245" t="s">
        <v>621</v>
      </c>
      <c r="CU68" s="245" t="s">
        <v>621</v>
      </c>
      <c r="CV68" s="245" t="s">
        <v>621</v>
      </c>
      <c r="CW68" s="245">
        <v>0</v>
      </c>
      <c r="CX68" s="245">
        <f t="shared" si="4"/>
        <v>1.26</v>
      </c>
      <c r="CY68" s="245" t="s">
        <v>621</v>
      </c>
      <c r="CZ68" s="245" t="s">
        <v>621</v>
      </c>
      <c r="DA68" s="245" t="s">
        <v>621</v>
      </c>
      <c r="DB68" s="256" t="s">
        <v>621</v>
      </c>
      <c r="DC68" s="245" t="s">
        <v>621</v>
      </c>
      <c r="DD68" s="245">
        <v>0</v>
      </c>
      <c r="DE68" s="245">
        <v>1.26</v>
      </c>
      <c r="DF68" s="245" t="s">
        <v>621</v>
      </c>
      <c r="DG68" s="245" t="s">
        <v>621</v>
      </c>
      <c r="DH68" s="245" t="s">
        <v>621</v>
      </c>
      <c r="DI68" s="245" t="s">
        <v>621</v>
      </c>
      <c r="DJ68" s="245" t="s">
        <v>621</v>
      </c>
      <c r="DK68" s="245">
        <v>0</v>
      </c>
      <c r="DL68" s="245"/>
    </row>
    <row r="69" spans="1:116" s="340" customFormat="1" ht="40.5" x14ac:dyDescent="0.25">
      <c r="A69" s="153" t="s">
        <v>900</v>
      </c>
      <c r="B69" s="908" t="s">
        <v>902</v>
      </c>
      <c r="C69" s="911" t="s">
        <v>1072</v>
      </c>
      <c r="D69" s="245">
        <f>'4'!CN70</f>
        <v>0</v>
      </c>
      <c r="E69" s="245" t="s">
        <v>621</v>
      </c>
      <c r="F69" s="245" t="s">
        <v>621</v>
      </c>
      <c r="G69" s="245" t="s">
        <v>621</v>
      </c>
      <c r="H69" s="256" t="s">
        <v>621</v>
      </c>
      <c r="I69" s="245" t="s">
        <v>621</v>
      </c>
      <c r="J69" s="245">
        <v>23</v>
      </c>
      <c r="K69" s="245">
        <v>0</v>
      </c>
      <c r="L69" s="245" t="s">
        <v>621</v>
      </c>
      <c r="M69" s="245" t="s">
        <v>621</v>
      </c>
      <c r="N69" s="245" t="s">
        <v>621</v>
      </c>
      <c r="O69" s="245" t="s">
        <v>621</v>
      </c>
      <c r="P69" s="245" t="s">
        <v>621</v>
      </c>
      <c r="Q69" s="245">
        <v>23</v>
      </c>
      <c r="R69" s="245" t="s">
        <v>621</v>
      </c>
      <c r="S69" s="245" t="s">
        <v>621</v>
      </c>
      <c r="T69" s="245" t="s">
        <v>621</v>
      </c>
      <c r="U69" s="245" t="s">
        <v>621</v>
      </c>
      <c r="V69" s="245" t="s">
        <v>621</v>
      </c>
      <c r="W69" s="245" t="s">
        <v>621</v>
      </c>
      <c r="X69" s="245" t="s">
        <v>621</v>
      </c>
      <c r="Y69" s="245" t="s">
        <v>621</v>
      </c>
      <c r="Z69" s="245" t="s">
        <v>621</v>
      </c>
      <c r="AA69" s="245" t="s">
        <v>621</v>
      </c>
      <c r="AB69" s="245" t="s">
        <v>621</v>
      </c>
      <c r="AC69" s="245" t="s">
        <v>621</v>
      </c>
      <c r="AD69" s="245" t="s">
        <v>621</v>
      </c>
      <c r="AE69" s="245" t="s">
        <v>621</v>
      </c>
      <c r="AF69" s="245">
        <v>0</v>
      </c>
      <c r="AG69" s="245" t="s">
        <v>621</v>
      </c>
      <c r="AH69" s="245" t="s">
        <v>621</v>
      </c>
      <c r="AI69" s="245" t="s">
        <v>621</v>
      </c>
      <c r="AJ69" s="256" t="s">
        <v>621</v>
      </c>
      <c r="AK69" s="245" t="s">
        <v>621</v>
      </c>
      <c r="AL69" s="245">
        <v>0</v>
      </c>
      <c r="AM69" s="245">
        <v>0</v>
      </c>
      <c r="AN69" s="245" t="s">
        <v>621</v>
      </c>
      <c r="AO69" s="245" t="s">
        <v>621</v>
      </c>
      <c r="AP69" s="245" t="s">
        <v>621</v>
      </c>
      <c r="AQ69" s="245" t="s">
        <v>621</v>
      </c>
      <c r="AR69" s="245" t="s">
        <v>621</v>
      </c>
      <c r="AS69" s="245">
        <v>0</v>
      </c>
      <c r="AT69" s="245">
        <v>0</v>
      </c>
      <c r="AU69" s="245" t="s">
        <v>621</v>
      </c>
      <c r="AV69" s="245" t="s">
        <v>621</v>
      </c>
      <c r="AW69" s="245" t="s">
        <v>621</v>
      </c>
      <c r="AX69" s="245" t="s">
        <v>621</v>
      </c>
      <c r="AY69" s="245" t="s">
        <v>621</v>
      </c>
      <c r="AZ69" s="245">
        <v>0</v>
      </c>
      <c r="BA69" s="245">
        <v>0</v>
      </c>
      <c r="BB69" s="245" t="s">
        <v>621</v>
      </c>
      <c r="BC69" s="245" t="s">
        <v>621</v>
      </c>
      <c r="BD69" s="245" t="s">
        <v>621</v>
      </c>
      <c r="BE69" s="245" t="s">
        <v>621</v>
      </c>
      <c r="BF69" s="245" t="s">
        <v>621</v>
      </c>
      <c r="BG69" s="245">
        <v>0</v>
      </c>
      <c r="BH69" s="245">
        <v>0</v>
      </c>
      <c r="BI69" s="245" t="s">
        <v>621</v>
      </c>
      <c r="BJ69" s="245" t="s">
        <v>621</v>
      </c>
      <c r="BK69" s="245" t="s">
        <v>621</v>
      </c>
      <c r="BL69" s="245" t="s">
        <v>621</v>
      </c>
      <c r="BM69" s="245" t="s">
        <v>621</v>
      </c>
      <c r="BN69" s="245">
        <v>0</v>
      </c>
      <c r="BO69" s="245">
        <v>0</v>
      </c>
      <c r="BP69" s="245" t="s">
        <v>621</v>
      </c>
      <c r="BQ69" s="245" t="s">
        <v>621</v>
      </c>
      <c r="BR69" s="245" t="s">
        <v>621</v>
      </c>
      <c r="BS69" s="245" t="s">
        <v>621</v>
      </c>
      <c r="BT69" s="245" t="s">
        <v>621</v>
      </c>
      <c r="BU69" s="245">
        <v>0</v>
      </c>
      <c r="BV69" s="245">
        <v>0</v>
      </c>
      <c r="BW69" s="245" t="s">
        <v>621</v>
      </c>
      <c r="BX69" s="245" t="s">
        <v>621</v>
      </c>
      <c r="BY69" s="245" t="s">
        <v>621</v>
      </c>
      <c r="BZ69" s="245" t="s">
        <v>621</v>
      </c>
      <c r="CA69" s="245" t="s">
        <v>621</v>
      </c>
      <c r="CB69" s="245" t="s">
        <v>621</v>
      </c>
      <c r="CC69" s="245">
        <v>0</v>
      </c>
      <c r="CD69" s="245" t="s">
        <v>621</v>
      </c>
      <c r="CE69" s="245" t="s">
        <v>621</v>
      </c>
      <c r="CF69" s="245" t="s">
        <v>621</v>
      </c>
      <c r="CG69" s="245" t="s">
        <v>621</v>
      </c>
      <c r="CH69" s="245" t="s">
        <v>621</v>
      </c>
      <c r="CI69" s="245" t="s">
        <v>621</v>
      </c>
      <c r="CJ69" s="245" t="s">
        <v>621</v>
      </c>
      <c r="CK69" s="245" t="s">
        <v>621</v>
      </c>
      <c r="CL69" s="245" t="s">
        <v>621</v>
      </c>
      <c r="CM69" s="245" t="s">
        <v>621</v>
      </c>
      <c r="CN69" s="245" t="s">
        <v>621</v>
      </c>
      <c r="CO69" s="245" t="s">
        <v>621</v>
      </c>
      <c r="CP69" s="245">
        <f>'4'!CD70</f>
        <v>23</v>
      </c>
      <c r="CQ69" s="245" t="s">
        <v>621</v>
      </c>
      <c r="CR69" s="245" t="s">
        <v>621</v>
      </c>
      <c r="CS69" s="245" t="s">
        <v>621</v>
      </c>
      <c r="CT69" s="245" t="s">
        <v>621</v>
      </c>
      <c r="CU69" s="245" t="s">
        <v>621</v>
      </c>
      <c r="CV69" s="245" t="s">
        <v>621</v>
      </c>
      <c r="CW69" s="245">
        <v>23</v>
      </c>
      <c r="CX69" s="245">
        <f t="shared" si="4"/>
        <v>0</v>
      </c>
      <c r="CY69" s="245" t="s">
        <v>621</v>
      </c>
      <c r="CZ69" s="245" t="s">
        <v>621</v>
      </c>
      <c r="DA69" s="245" t="s">
        <v>621</v>
      </c>
      <c r="DB69" s="256" t="s">
        <v>621</v>
      </c>
      <c r="DC69" s="245" t="s">
        <v>621</v>
      </c>
      <c r="DD69" s="245">
        <v>23</v>
      </c>
      <c r="DE69" s="245">
        <v>0</v>
      </c>
      <c r="DF69" s="245" t="s">
        <v>621</v>
      </c>
      <c r="DG69" s="245" t="s">
        <v>621</v>
      </c>
      <c r="DH69" s="245" t="s">
        <v>621</v>
      </c>
      <c r="DI69" s="245" t="s">
        <v>621</v>
      </c>
      <c r="DJ69" s="245" t="s">
        <v>621</v>
      </c>
      <c r="DK69" s="245">
        <v>23</v>
      </c>
      <c r="DL69" s="245"/>
    </row>
    <row r="70" spans="1:116" s="340" customFormat="1" ht="40.5" x14ac:dyDescent="0.25">
      <c r="A70" s="153" t="s">
        <v>919</v>
      </c>
      <c r="B70" s="908" t="s">
        <v>917</v>
      </c>
      <c r="C70" s="911" t="s">
        <v>1073</v>
      </c>
      <c r="D70" s="245">
        <f>'4'!CN71</f>
        <v>0</v>
      </c>
      <c r="E70" s="245" t="s">
        <v>621</v>
      </c>
      <c r="F70" s="245" t="s">
        <v>621</v>
      </c>
      <c r="G70" s="245" t="s">
        <v>621</v>
      </c>
      <c r="H70" s="256" t="s">
        <v>621</v>
      </c>
      <c r="I70" s="245" t="s">
        <v>621</v>
      </c>
      <c r="J70" s="245">
        <v>13</v>
      </c>
      <c r="K70" s="245">
        <v>0</v>
      </c>
      <c r="L70" s="245" t="s">
        <v>621</v>
      </c>
      <c r="M70" s="245" t="s">
        <v>621</v>
      </c>
      <c r="N70" s="245" t="s">
        <v>621</v>
      </c>
      <c r="O70" s="245" t="s">
        <v>621</v>
      </c>
      <c r="P70" s="245" t="s">
        <v>621</v>
      </c>
      <c r="Q70" s="245">
        <v>13</v>
      </c>
      <c r="R70" s="245" t="s">
        <v>621</v>
      </c>
      <c r="S70" s="245" t="s">
        <v>621</v>
      </c>
      <c r="T70" s="245" t="s">
        <v>621</v>
      </c>
      <c r="U70" s="245" t="s">
        <v>621</v>
      </c>
      <c r="V70" s="245" t="s">
        <v>621</v>
      </c>
      <c r="W70" s="245" t="s">
        <v>621</v>
      </c>
      <c r="X70" s="245" t="s">
        <v>621</v>
      </c>
      <c r="Y70" s="245" t="s">
        <v>621</v>
      </c>
      <c r="Z70" s="245" t="s">
        <v>621</v>
      </c>
      <c r="AA70" s="245" t="s">
        <v>621</v>
      </c>
      <c r="AB70" s="245" t="s">
        <v>621</v>
      </c>
      <c r="AC70" s="245" t="s">
        <v>621</v>
      </c>
      <c r="AD70" s="245" t="s">
        <v>621</v>
      </c>
      <c r="AE70" s="245" t="s">
        <v>621</v>
      </c>
      <c r="AF70" s="245">
        <v>0</v>
      </c>
      <c r="AG70" s="245" t="s">
        <v>621</v>
      </c>
      <c r="AH70" s="245" t="s">
        <v>621</v>
      </c>
      <c r="AI70" s="245" t="s">
        <v>621</v>
      </c>
      <c r="AJ70" s="256" t="s">
        <v>621</v>
      </c>
      <c r="AK70" s="245" t="s">
        <v>621</v>
      </c>
      <c r="AL70" s="245">
        <v>0</v>
      </c>
      <c r="AM70" s="245">
        <v>0</v>
      </c>
      <c r="AN70" s="245" t="s">
        <v>621</v>
      </c>
      <c r="AO70" s="245" t="s">
        <v>621</v>
      </c>
      <c r="AP70" s="245" t="s">
        <v>621</v>
      </c>
      <c r="AQ70" s="245" t="s">
        <v>621</v>
      </c>
      <c r="AR70" s="245" t="s">
        <v>621</v>
      </c>
      <c r="AS70" s="245">
        <v>0</v>
      </c>
      <c r="AT70" s="245">
        <v>0</v>
      </c>
      <c r="AU70" s="245" t="s">
        <v>621</v>
      </c>
      <c r="AV70" s="245" t="s">
        <v>621</v>
      </c>
      <c r="AW70" s="245" t="s">
        <v>621</v>
      </c>
      <c r="AX70" s="245" t="s">
        <v>621</v>
      </c>
      <c r="AY70" s="245" t="s">
        <v>621</v>
      </c>
      <c r="AZ70" s="245">
        <v>0</v>
      </c>
      <c r="BA70" s="245">
        <v>0</v>
      </c>
      <c r="BB70" s="245" t="s">
        <v>621</v>
      </c>
      <c r="BC70" s="245" t="s">
        <v>621</v>
      </c>
      <c r="BD70" s="245" t="s">
        <v>621</v>
      </c>
      <c r="BE70" s="245" t="s">
        <v>621</v>
      </c>
      <c r="BF70" s="245" t="s">
        <v>621</v>
      </c>
      <c r="BG70" s="245">
        <v>0</v>
      </c>
      <c r="BH70" s="245">
        <v>0</v>
      </c>
      <c r="BI70" s="245" t="s">
        <v>621</v>
      </c>
      <c r="BJ70" s="245" t="s">
        <v>621</v>
      </c>
      <c r="BK70" s="245" t="s">
        <v>621</v>
      </c>
      <c r="BL70" s="245" t="s">
        <v>621</v>
      </c>
      <c r="BM70" s="245" t="s">
        <v>621</v>
      </c>
      <c r="BN70" s="245">
        <v>0</v>
      </c>
      <c r="BO70" s="245">
        <v>0</v>
      </c>
      <c r="BP70" s="245" t="s">
        <v>621</v>
      </c>
      <c r="BQ70" s="245" t="s">
        <v>621</v>
      </c>
      <c r="BR70" s="245" t="s">
        <v>621</v>
      </c>
      <c r="BS70" s="245" t="s">
        <v>621</v>
      </c>
      <c r="BT70" s="245" t="s">
        <v>621</v>
      </c>
      <c r="BU70" s="245">
        <v>0</v>
      </c>
      <c r="BV70" s="245">
        <v>0</v>
      </c>
      <c r="BW70" s="245" t="s">
        <v>621</v>
      </c>
      <c r="BX70" s="245" t="s">
        <v>621</v>
      </c>
      <c r="BY70" s="245" t="s">
        <v>621</v>
      </c>
      <c r="BZ70" s="245" t="s">
        <v>621</v>
      </c>
      <c r="CA70" s="245" t="s">
        <v>621</v>
      </c>
      <c r="CB70" s="245" t="s">
        <v>621</v>
      </c>
      <c r="CC70" s="245">
        <v>0</v>
      </c>
      <c r="CD70" s="245" t="s">
        <v>621</v>
      </c>
      <c r="CE70" s="245" t="s">
        <v>621</v>
      </c>
      <c r="CF70" s="245" t="s">
        <v>621</v>
      </c>
      <c r="CG70" s="245" t="s">
        <v>621</v>
      </c>
      <c r="CH70" s="245" t="s">
        <v>621</v>
      </c>
      <c r="CI70" s="245" t="s">
        <v>621</v>
      </c>
      <c r="CJ70" s="245" t="s">
        <v>621</v>
      </c>
      <c r="CK70" s="245" t="s">
        <v>621</v>
      </c>
      <c r="CL70" s="245" t="s">
        <v>621</v>
      </c>
      <c r="CM70" s="245" t="s">
        <v>621</v>
      </c>
      <c r="CN70" s="245" t="s">
        <v>621</v>
      </c>
      <c r="CO70" s="245" t="s">
        <v>621</v>
      </c>
      <c r="CP70" s="245">
        <f>'4'!CD71</f>
        <v>13</v>
      </c>
      <c r="CQ70" s="245" t="s">
        <v>621</v>
      </c>
      <c r="CR70" s="245" t="s">
        <v>621</v>
      </c>
      <c r="CS70" s="245" t="s">
        <v>621</v>
      </c>
      <c r="CT70" s="245" t="s">
        <v>621</v>
      </c>
      <c r="CU70" s="245" t="s">
        <v>621</v>
      </c>
      <c r="CV70" s="245" t="s">
        <v>621</v>
      </c>
      <c r="CW70" s="245">
        <v>13</v>
      </c>
      <c r="CX70" s="245">
        <f t="shared" si="4"/>
        <v>0</v>
      </c>
      <c r="CY70" s="245" t="s">
        <v>621</v>
      </c>
      <c r="CZ70" s="245" t="s">
        <v>621</v>
      </c>
      <c r="DA70" s="245" t="s">
        <v>621</v>
      </c>
      <c r="DB70" s="256" t="s">
        <v>621</v>
      </c>
      <c r="DC70" s="245" t="s">
        <v>621</v>
      </c>
      <c r="DD70" s="245">
        <v>13</v>
      </c>
      <c r="DE70" s="245">
        <v>0</v>
      </c>
      <c r="DF70" s="245" t="s">
        <v>621</v>
      </c>
      <c r="DG70" s="245" t="s">
        <v>621</v>
      </c>
      <c r="DH70" s="245" t="s">
        <v>621</v>
      </c>
      <c r="DI70" s="245" t="s">
        <v>621</v>
      </c>
      <c r="DJ70" s="245" t="s">
        <v>621</v>
      </c>
      <c r="DK70" s="245">
        <v>13</v>
      </c>
      <c r="DL70" s="245"/>
    </row>
    <row r="71" spans="1:116" s="913" customFormat="1" ht="40.5" x14ac:dyDescent="0.25">
      <c r="A71" s="153" t="s">
        <v>920</v>
      </c>
      <c r="B71" s="991" t="s">
        <v>1717</v>
      </c>
      <c r="C71" s="630" t="s">
        <v>1735</v>
      </c>
      <c r="D71" s="241">
        <v>0</v>
      </c>
      <c r="E71" s="245" t="s">
        <v>621</v>
      </c>
      <c r="F71" s="245" t="s">
        <v>621</v>
      </c>
      <c r="G71" s="245" t="s">
        <v>621</v>
      </c>
      <c r="H71" s="256" t="s">
        <v>621</v>
      </c>
      <c r="I71" s="245" t="s">
        <v>621</v>
      </c>
      <c r="J71" s="241">
        <v>0</v>
      </c>
      <c r="K71" s="241">
        <v>2</v>
      </c>
      <c r="L71" s="245" t="s">
        <v>621</v>
      </c>
      <c r="M71" s="245" t="s">
        <v>621</v>
      </c>
      <c r="N71" s="245" t="s">
        <v>621</v>
      </c>
      <c r="O71" s="245" t="s">
        <v>621</v>
      </c>
      <c r="P71" s="245" t="s">
        <v>621</v>
      </c>
      <c r="Q71" s="241">
        <v>0</v>
      </c>
      <c r="R71" s="245" t="s">
        <v>621</v>
      </c>
      <c r="S71" s="245" t="s">
        <v>621</v>
      </c>
      <c r="T71" s="245" t="s">
        <v>621</v>
      </c>
      <c r="U71" s="245" t="s">
        <v>621</v>
      </c>
      <c r="V71" s="245" t="s">
        <v>621</v>
      </c>
      <c r="W71" s="245" t="s">
        <v>621</v>
      </c>
      <c r="X71" s="245" t="s">
        <v>621</v>
      </c>
      <c r="Y71" s="245" t="s">
        <v>621</v>
      </c>
      <c r="Z71" s="245" t="s">
        <v>621</v>
      </c>
      <c r="AA71" s="245" t="s">
        <v>621</v>
      </c>
      <c r="AB71" s="245" t="s">
        <v>621</v>
      </c>
      <c r="AC71" s="245" t="s">
        <v>621</v>
      </c>
      <c r="AD71" s="245" t="s">
        <v>621</v>
      </c>
      <c r="AE71" s="245" t="s">
        <v>621</v>
      </c>
      <c r="AF71" s="245">
        <v>3</v>
      </c>
      <c r="AG71" s="245" t="s">
        <v>621</v>
      </c>
      <c r="AH71" s="245" t="s">
        <v>621</v>
      </c>
      <c r="AI71" s="245" t="s">
        <v>621</v>
      </c>
      <c r="AJ71" s="256" t="s">
        <v>621</v>
      </c>
      <c r="AK71" s="245" t="s">
        <v>621</v>
      </c>
      <c r="AL71" s="245">
        <v>0</v>
      </c>
      <c r="AM71" s="245">
        <v>0</v>
      </c>
      <c r="AN71" s="245" t="s">
        <v>621</v>
      </c>
      <c r="AO71" s="245" t="s">
        <v>621</v>
      </c>
      <c r="AP71" s="245" t="s">
        <v>621</v>
      </c>
      <c r="AQ71" s="245" t="s">
        <v>621</v>
      </c>
      <c r="AR71" s="245" t="s">
        <v>621</v>
      </c>
      <c r="AS71" s="245">
        <v>0</v>
      </c>
      <c r="AT71" s="245">
        <v>0</v>
      </c>
      <c r="AU71" s="245" t="s">
        <v>621</v>
      </c>
      <c r="AV71" s="245" t="s">
        <v>621</v>
      </c>
      <c r="AW71" s="245" t="s">
        <v>621</v>
      </c>
      <c r="AX71" s="245" t="s">
        <v>621</v>
      </c>
      <c r="AY71" s="245" t="s">
        <v>621</v>
      </c>
      <c r="AZ71" s="245">
        <v>0</v>
      </c>
      <c r="BA71" s="245">
        <v>0</v>
      </c>
      <c r="BB71" s="245" t="s">
        <v>621</v>
      </c>
      <c r="BC71" s="245" t="s">
        <v>621</v>
      </c>
      <c r="BD71" s="245" t="s">
        <v>621</v>
      </c>
      <c r="BE71" s="245" t="s">
        <v>621</v>
      </c>
      <c r="BF71" s="245" t="s">
        <v>621</v>
      </c>
      <c r="BG71" s="245">
        <v>0</v>
      </c>
      <c r="BH71" s="245">
        <v>0</v>
      </c>
      <c r="BI71" s="245" t="s">
        <v>621</v>
      </c>
      <c r="BJ71" s="245" t="s">
        <v>621</v>
      </c>
      <c r="BK71" s="245" t="s">
        <v>621</v>
      </c>
      <c r="BL71" s="245" t="s">
        <v>621</v>
      </c>
      <c r="BM71" s="245" t="s">
        <v>621</v>
      </c>
      <c r="BN71" s="245">
        <v>0</v>
      </c>
      <c r="BO71" s="245">
        <v>0</v>
      </c>
      <c r="BP71" s="245" t="s">
        <v>621</v>
      </c>
      <c r="BQ71" s="245" t="s">
        <v>621</v>
      </c>
      <c r="BR71" s="245" t="s">
        <v>621</v>
      </c>
      <c r="BS71" s="245" t="s">
        <v>621</v>
      </c>
      <c r="BT71" s="245" t="s">
        <v>621</v>
      </c>
      <c r="BU71" s="245">
        <v>11</v>
      </c>
      <c r="BV71" s="245">
        <v>0</v>
      </c>
      <c r="BW71" s="245" t="s">
        <v>621</v>
      </c>
      <c r="BX71" s="245" t="s">
        <v>621</v>
      </c>
      <c r="BY71" s="245" t="s">
        <v>621</v>
      </c>
      <c r="BZ71" s="245" t="s">
        <v>621</v>
      </c>
      <c r="CA71" s="245" t="s">
        <v>621</v>
      </c>
      <c r="CB71" s="245" t="s">
        <v>621</v>
      </c>
      <c r="CC71" s="245">
        <v>0</v>
      </c>
      <c r="CD71" s="245" t="s">
        <v>621</v>
      </c>
      <c r="CE71" s="245" t="s">
        <v>621</v>
      </c>
      <c r="CF71" s="245" t="s">
        <v>621</v>
      </c>
      <c r="CG71" s="245" t="s">
        <v>621</v>
      </c>
      <c r="CH71" s="245" t="s">
        <v>621</v>
      </c>
      <c r="CI71" s="245" t="s">
        <v>621</v>
      </c>
      <c r="CJ71" s="245" t="s">
        <v>621</v>
      </c>
      <c r="CK71" s="245" t="s">
        <v>621</v>
      </c>
      <c r="CL71" s="245" t="s">
        <v>621</v>
      </c>
      <c r="CM71" s="245" t="s">
        <v>621</v>
      </c>
      <c r="CN71" s="245" t="s">
        <v>621</v>
      </c>
      <c r="CO71" s="241" t="s">
        <v>621</v>
      </c>
      <c r="CP71" s="241">
        <v>0</v>
      </c>
      <c r="CQ71" s="245" t="s">
        <v>621</v>
      </c>
      <c r="CR71" s="245" t="s">
        <v>621</v>
      </c>
      <c r="CS71" s="245" t="s">
        <v>621</v>
      </c>
      <c r="CT71" s="245" t="s">
        <v>621</v>
      </c>
      <c r="CU71" s="245" t="s">
        <v>621</v>
      </c>
      <c r="CV71" s="245" t="s">
        <v>621</v>
      </c>
      <c r="CW71" s="241">
        <v>0</v>
      </c>
      <c r="CX71" s="241">
        <v>0</v>
      </c>
      <c r="CY71" s="245" t="s">
        <v>621</v>
      </c>
      <c r="CZ71" s="245" t="s">
        <v>621</v>
      </c>
      <c r="DA71" s="245" t="s">
        <v>621</v>
      </c>
      <c r="DB71" s="256" t="s">
        <v>621</v>
      </c>
      <c r="DC71" s="245" t="s">
        <v>621</v>
      </c>
      <c r="DD71" s="245">
        <v>0</v>
      </c>
      <c r="DE71" s="241">
        <v>0</v>
      </c>
      <c r="DF71" s="245" t="s">
        <v>621</v>
      </c>
      <c r="DG71" s="245" t="s">
        <v>621</v>
      </c>
      <c r="DH71" s="245" t="s">
        <v>621</v>
      </c>
      <c r="DI71" s="245" t="s">
        <v>621</v>
      </c>
      <c r="DJ71" s="245" t="s">
        <v>621</v>
      </c>
      <c r="DK71" s="241">
        <v>11</v>
      </c>
      <c r="DL71" s="245"/>
    </row>
    <row r="72" spans="1:116" s="993" customFormat="1" ht="30.75" x14ac:dyDescent="0.25">
      <c r="A72" s="153" t="s">
        <v>921</v>
      </c>
      <c r="B72" s="991" t="s">
        <v>1718</v>
      </c>
      <c r="C72" s="630" t="s">
        <v>1731</v>
      </c>
      <c r="D72" s="241"/>
      <c r="E72" s="245"/>
      <c r="F72" s="245"/>
      <c r="G72" s="245"/>
      <c r="H72" s="256"/>
      <c r="I72" s="245"/>
      <c r="J72" s="241"/>
      <c r="K72" s="241"/>
      <c r="L72" s="245"/>
      <c r="M72" s="245"/>
      <c r="N72" s="245"/>
      <c r="O72" s="245"/>
      <c r="P72" s="245"/>
      <c r="Q72" s="241"/>
      <c r="R72" s="245"/>
      <c r="S72" s="245"/>
      <c r="T72" s="245"/>
      <c r="U72" s="245"/>
      <c r="V72" s="245"/>
      <c r="W72" s="245"/>
      <c r="X72" s="245"/>
      <c r="Y72" s="245"/>
      <c r="Z72" s="245"/>
      <c r="AA72" s="245"/>
      <c r="AB72" s="245"/>
      <c r="AC72" s="245"/>
      <c r="AD72" s="245"/>
      <c r="AE72" s="245" t="s">
        <v>621</v>
      </c>
      <c r="AF72" s="245"/>
      <c r="AG72" s="245"/>
      <c r="AH72" s="245"/>
      <c r="AI72" s="245"/>
      <c r="AJ72" s="256"/>
      <c r="AK72" s="245"/>
      <c r="AL72" s="245"/>
      <c r="AM72" s="245"/>
      <c r="AN72" s="245"/>
      <c r="AO72" s="245"/>
      <c r="AP72" s="245"/>
      <c r="AQ72" s="245"/>
      <c r="AR72" s="245"/>
      <c r="AS72" s="245"/>
      <c r="AT72" s="245"/>
      <c r="AU72" s="245"/>
      <c r="AV72" s="245"/>
      <c r="AW72" s="245"/>
      <c r="AX72" s="245"/>
      <c r="AY72" s="245"/>
      <c r="AZ72" s="245">
        <v>0</v>
      </c>
      <c r="BA72" s="245">
        <v>0</v>
      </c>
      <c r="BB72" s="245" t="s">
        <v>621</v>
      </c>
      <c r="BC72" s="245" t="s">
        <v>621</v>
      </c>
      <c r="BD72" s="245" t="s">
        <v>621</v>
      </c>
      <c r="BE72" s="245" t="s">
        <v>621</v>
      </c>
      <c r="BF72" s="245" t="s">
        <v>621</v>
      </c>
      <c r="BG72" s="245">
        <v>0</v>
      </c>
      <c r="BH72" s="245">
        <v>0</v>
      </c>
      <c r="BI72" s="245" t="s">
        <v>621</v>
      </c>
      <c r="BJ72" s="245" t="s">
        <v>621</v>
      </c>
      <c r="BK72" s="245" t="s">
        <v>621</v>
      </c>
      <c r="BL72" s="245" t="s">
        <v>621</v>
      </c>
      <c r="BM72" s="245" t="s">
        <v>621</v>
      </c>
      <c r="BN72" s="245"/>
      <c r="BO72" s="245">
        <v>1.26</v>
      </c>
      <c r="BP72" s="245" t="s">
        <v>621</v>
      </c>
      <c r="BQ72" s="245" t="s">
        <v>621</v>
      </c>
      <c r="BR72" s="245" t="s">
        <v>621</v>
      </c>
      <c r="BS72" s="245" t="s">
        <v>621</v>
      </c>
      <c r="BT72" s="245" t="s">
        <v>621</v>
      </c>
      <c r="BU72" s="245">
        <v>0</v>
      </c>
      <c r="BV72" s="245">
        <v>0</v>
      </c>
      <c r="BW72" s="245" t="s">
        <v>621</v>
      </c>
      <c r="BX72" s="245" t="s">
        <v>621</v>
      </c>
      <c r="BY72" s="245" t="s">
        <v>621</v>
      </c>
      <c r="BZ72" s="245" t="s">
        <v>621</v>
      </c>
      <c r="CA72" s="245" t="s">
        <v>621</v>
      </c>
      <c r="CB72" s="245" t="s">
        <v>621</v>
      </c>
      <c r="CC72" s="245">
        <v>0</v>
      </c>
      <c r="CD72" s="245" t="s">
        <v>621</v>
      </c>
      <c r="CE72" s="245" t="s">
        <v>621</v>
      </c>
      <c r="CF72" s="245" t="s">
        <v>621</v>
      </c>
      <c r="CG72" s="245" t="s">
        <v>621</v>
      </c>
      <c r="CH72" s="245" t="s">
        <v>621</v>
      </c>
      <c r="CI72" s="245" t="s">
        <v>621</v>
      </c>
      <c r="CJ72" s="245" t="s">
        <v>621</v>
      </c>
      <c r="CK72" s="245" t="s">
        <v>621</v>
      </c>
      <c r="CL72" s="245" t="s">
        <v>621</v>
      </c>
      <c r="CM72" s="245" t="s">
        <v>621</v>
      </c>
      <c r="CN72" s="245" t="s">
        <v>621</v>
      </c>
      <c r="CO72" s="241" t="s">
        <v>621</v>
      </c>
      <c r="CP72" s="241">
        <v>0</v>
      </c>
      <c r="CQ72" s="245" t="s">
        <v>621</v>
      </c>
      <c r="CR72" s="245" t="s">
        <v>621</v>
      </c>
      <c r="CS72" s="245" t="s">
        <v>621</v>
      </c>
      <c r="CT72" s="245" t="s">
        <v>621</v>
      </c>
      <c r="CU72" s="245" t="s">
        <v>621</v>
      </c>
      <c r="CV72" s="245" t="s">
        <v>621</v>
      </c>
      <c r="CW72" s="241">
        <v>0</v>
      </c>
      <c r="CX72" s="241">
        <v>0</v>
      </c>
      <c r="CY72" s="245" t="s">
        <v>621</v>
      </c>
      <c r="CZ72" s="245" t="s">
        <v>621</v>
      </c>
      <c r="DA72" s="245" t="s">
        <v>621</v>
      </c>
      <c r="DB72" s="256" t="s">
        <v>621</v>
      </c>
      <c r="DC72" s="245" t="s">
        <v>621</v>
      </c>
      <c r="DD72" s="245">
        <v>0</v>
      </c>
      <c r="DE72" s="241">
        <v>1.26</v>
      </c>
      <c r="DF72" s="245" t="s">
        <v>621</v>
      </c>
      <c r="DG72" s="245" t="s">
        <v>621</v>
      </c>
      <c r="DH72" s="245" t="s">
        <v>621</v>
      </c>
      <c r="DI72" s="245" t="s">
        <v>621</v>
      </c>
      <c r="DJ72" s="245" t="s">
        <v>621</v>
      </c>
      <c r="DK72" s="241">
        <v>0</v>
      </c>
      <c r="DL72" s="245"/>
    </row>
    <row r="73" spans="1:116" s="647" customFormat="1" ht="41.25" customHeight="1" x14ac:dyDescent="0.25">
      <c r="A73" s="386" t="s">
        <v>741</v>
      </c>
      <c r="B73" s="398" t="s">
        <v>1653</v>
      </c>
      <c r="C73" s="299" t="s">
        <v>621</v>
      </c>
      <c r="D73" s="305">
        <v>0</v>
      </c>
      <c r="E73" s="305" t="s">
        <v>621</v>
      </c>
      <c r="F73" s="305" t="s">
        <v>621</v>
      </c>
      <c r="G73" s="305" t="s">
        <v>621</v>
      </c>
      <c r="H73" s="305" t="s">
        <v>621</v>
      </c>
      <c r="I73" s="305" t="s">
        <v>621</v>
      </c>
      <c r="J73" s="305">
        <v>6</v>
      </c>
      <c r="K73" s="305">
        <v>0</v>
      </c>
      <c r="L73" s="305" t="s">
        <v>621</v>
      </c>
      <c r="M73" s="305" t="s">
        <v>621</v>
      </c>
      <c r="N73" s="305" t="s">
        <v>621</v>
      </c>
      <c r="O73" s="305" t="s">
        <v>621</v>
      </c>
      <c r="P73" s="305" t="s">
        <v>621</v>
      </c>
      <c r="Q73" s="305">
        <v>6</v>
      </c>
      <c r="R73" s="305" t="s">
        <v>621</v>
      </c>
      <c r="S73" s="305" t="s">
        <v>621</v>
      </c>
      <c r="T73" s="305" t="s">
        <v>621</v>
      </c>
      <c r="U73" s="305" t="s">
        <v>621</v>
      </c>
      <c r="V73" s="305" t="s">
        <v>621</v>
      </c>
      <c r="W73" s="305" t="s">
        <v>621</v>
      </c>
      <c r="X73" s="305" t="s">
        <v>621</v>
      </c>
      <c r="Y73" s="305" t="s">
        <v>621</v>
      </c>
      <c r="Z73" s="305" t="s">
        <v>621</v>
      </c>
      <c r="AA73" s="305" t="s">
        <v>621</v>
      </c>
      <c r="AB73" s="305" t="s">
        <v>621</v>
      </c>
      <c r="AC73" s="305" t="s">
        <v>621</v>
      </c>
      <c r="AD73" s="305" t="s">
        <v>621</v>
      </c>
      <c r="AE73" s="305" t="s">
        <v>621</v>
      </c>
      <c r="AF73" s="305" t="s">
        <v>621</v>
      </c>
      <c r="AG73" s="305" t="s">
        <v>621</v>
      </c>
      <c r="AH73" s="305" t="s">
        <v>621</v>
      </c>
      <c r="AI73" s="305" t="s">
        <v>621</v>
      </c>
      <c r="AJ73" s="305" t="s">
        <v>621</v>
      </c>
      <c r="AK73" s="305" t="s">
        <v>621</v>
      </c>
      <c r="AL73" s="305" t="s">
        <v>621</v>
      </c>
      <c r="AM73" s="305" t="s">
        <v>621</v>
      </c>
      <c r="AN73" s="305" t="s">
        <v>621</v>
      </c>
      <c r="AO73" s="305" t="s">
        <v>621</v>
      </c>
      <c r="AP73" s="305" t="s">
        <v>621</v>
      </c>
      <c r="AQ73" s="305" t="s">
        <v>621</v>
      </c>
      <c r="AR73" s="305" t="s">
        <v>621</v>
      </c>
      <c r="AS73" s="305" t="s">
        <v>621</v>
      </c>
      <c r="AT73" s="305" t="s">
        <v>621</v>
      </c>
      <c r="AU73" s="305" t="s">
        <v>621</v>
      </c>
      <c r="AV73" s="305" t="s">
        <v>621</v>
      </c>
      <c r="AW73" s="305" t="s">
        <v>621</v>
      </c>
      <c r="AX73" s="305" t="s">
        <v>621</v>
      </c>
      <c r="AY73" s="305" t="s">
        <v>621</v>
      </c>
      <c r="AZ73" s="305">
        <v>6</v>
      </c>
      <c r="BA73" s="305" t="s">
        <v>621</v>
      </c>
      <c r="BB73" s="305" t="s">
        <v>621</v>
      </c>
      <c r="BC73" s="305" t="s">
        <v>621</v>
      </c>
      <c r="BD73" s="305" t="s">
        <v>621</v>
      </c>
      <c r="BE73" s="305" t="s">
        <v>621</v>
      </c>
      <c r="BF73" s="305" t="s">
        <v>621</v>
      </c>
      <c r="BG73" s="305">
        <v>6</v>
      </c>
      <c r="BH73" s="305" t="s">
        <v>621</v>
      </c>
      <c r="BI73" s="305" t="s">
        <v>621</v>
      </c>
      <c r="BJ73" s="305" t="s">
        <v>621</v>
      </c>
      <c r="BK73" s="305" t="s">
        <v>621</v>
      </c>
      <c r="BL73" s="305" t="s">
        <v>621</v>
      </c>
      <c r="BM73" s="305" t="s">
        <v>621</v>
      </c>
      <c r="BN73" s="305" t="s">
        <v>621</v>
      </c>
      <c r="BO73" s="305" t="s">
        <v>621</v>
      </c>
      <c r="BP73" s="305" t="s">
        <v>621</v>
      </c>
      <c r="BQ73" s="305" t="s">
        <v>621</v>
      </c>
      <c r="BR73" s="305" t="s">
        <v>621</v>
      </c>
      <c r="BS73" s="305" t="s">
        <v>621</v>
      </c>
      <c r="BT73" s="305" t="s">
        <v>621</v>
      </c>
      <c r="BU73" s="305" t="s">
        <v>621</v>
      </c>
      <c r="BV73" s="305" t="s">
        <v>621</v>
      </c>
      <c r="BW73" s="305" t="s">
        <v>621</v>
      </c>
      <c r="BX73" s="305" t="s">
        <v>621</v>
      </c>
      <c r="BY73" s="305" t="s">
        <v>621</v>
      </c>
      <c r="BZ73" s="305" t="s">
        <v>621</v>
      </c>
      <c r="CA73" s="305" t="s">
        <v>621</v>
      </c>
      <c r="CB73" s="305" t="s">
        <v>621</v>
      </c>
      <c r="CC73" s="305" t="s">
        <v>621</v>
      </c>
      <c r="CD73" s="305" t="s">
        <v>621</v>
      </c>
      <c r="CE73" s="305" t="s">
        <v>621</v>
      </c>
      <c r="CF73" s="305" t="s">
        <v>621</v>
      </c>
      <c r="CG73" s="305" t="s">
        <v>621</v>
      </c>
      <c r="CH73" s="305" t="s">
        <v>621</v>
      </c>
      <c r="CI73" s="305" t="s">
        <v>621</v>
      </c>
      <c r="CJ73" s="305" t="s">
        <v>621</v>
      </c>
      <c r="CK73" s="305" t="s">
        <v>621</v>
      </c>
      <c r="CL73" s="305" t="s">
        <v>621</v>
      </c>
      <c r="CM73" s="305" t="s">
        <v>621</v>
      </c>
      <c r="CN73" s="305" t="s">
        <v>621</v>
      </c>
      <c r="CO73" s="305" t="s">
        <v>621</v>
      </c>
      <c r="CP73" s="305" t="s">
        <v>621</v>
      </c>
      <c r="CQ73" s="305" t="s">
        <v>621</v>
      </c>
      <c r="CR73" s="305" t="s">
        <v>621</v>
      </c>
      <c r="CS73" s="305" t="s">
        <v>621</v>
      </c>
      <c r="CT73" s="305" t="s">
        <v>621</v>
      </c>
      <c r="CU73" s="305" t="s">
        <v>621</v>
      </c>
      <c r="CV73" s="305" t="s">
        <v>621</v>
      </c>
      <c r="CW73" s="305" t="s">
        <v>621</v>
      </c>
      <c r="CX73" s="305">
        <v>0</v>
      </c>
      <c r="CY73" s="305" t="s">
        <v>621</v>
      </c>
      <c r="CZ73" s="305" t="s">
        <v>621</v>
      </c>
      <c r="DA73" s="305" t="s">
        <v>621</v>
      </c>
      <c r="DB73" s="305" t="s">
        <v>621</v>
      </c>
      <c r="DC73" s="305" t="s">
        <v>621</v>
      </c>
      <c r="DD73" s="305">
        <v>6</v>
      </c>
      <c r="DE73" s="305">
        <v>0</v>
      </c>
      <c r="DF73" s="305" t="s">
        <v>621</v>
      </c>
      <c r="DG73" s="305" t="s">
        <v>621</v>
      </c>
      <c r="DH73" s="305" t="s">
        <v>621</v>
      </c>
      <c r="DI73" s="305" t="s">
        <v>621</v>
      </c>
      <c r="DJ73" s="305" t="s">
        <v>621</v>
      </c>
      <c r="DK73" s="305">
        <v>6</v>
      </c>
      <c r="DL73" s="245"/>
    </row>
    <row r="74" spans="1:116" s="647" customFormat="1" ht="45" customHeight="1" x14ac:dyDescent="0.25">
      <c r="A74" s="380" t="s">
        <v>741</v>
      </c>
      <c r="B74" s="670" t="s">
        <v>1654</v>
      </c>
      <c r="C74" s="667" t="str">
        <f>CONCATENATE("J","_",2021,"_",A74)</f>
        <v>J_2021_1.6</v>
      </c>
      <c r="D74" s="245">
        <v>0</v>
      </c>
      <c r="E74" s="245" t="s">
        <v>621</v>
      </c>
      <c r="F74" s="245" t="s">
        <v>621</v>
      </c>
      <c r="G74" s="245" t="s">
        <v>621</v>
      </c>
      <c r="H74" s="245" t="s">
        <v>621</v>
      </c>
      <c r="I74" s="245"/>
      <c r="J74" s="245">
        <v>6</v>
      </c>
      <c r="K74" s="245">
        <v>0</v>
      </c>
      <c r="L74" s="245" t="s">
        <v>621</v>
      </c>
      <c r="M74" s="245" t="s">
        <v>621</v>
      </c>
      <c r="N74" s="245" t="s">
        <v>621</v>
      </c>
      <c r="O74" s="245" t="s">
        <v>621</v>
      </c>
      <c r="P74" s="245" t="s">
        <v>621</v>
      </c>
      <c r="Q74" s="245">
        <v>6</v>
      </c>
      <c r="R74" s="245" t="s">
        <v>621</v>
      </c>
      <c r="S74" s="245" t="s">
        <v>621</v>
      </c>
      <c r="T74" s="245" t="s">
        <v>621</v>
      </c>
      <c r="U74" s="245" t="s">
        <v>621</v>
      </c>
      <c r="V74" s="245" t="s">
        <v>621</v>
      </c>
      <c r="W74" s="245" t="s">
        <v>621</v>
      </c>
      <c r="X74" s="245" t="s">
        <v>621</v>
      </c>
      <c r="Y74" s="245" t="s">
        <v>621</v>
      </c>
      <c r="Z74" s="245" t="s">
        <v>621</v>
      </c>
      <c r="AA74" s="245" t="s">
        <v>621</v>
      </c>
      <c r="AB74" s="245" t="s">
        <v>621</v>
      </c>
      <c r="AC74" s="245" t="s">
        <v>621</v>
      </c>
      <c r="AD74" s="245" t="s">
        <v>621</v>
      </c>
      <c r="AE74" s="245" t="s">
        <v>621</v>
      </c>
      <c r="AF74" s="245" t="s">
        <v>621</v>
      </c>
      <c r="AG74" s="245" t="s">
        <v>621</v>
      </c>
      <c r="AH74" s="245" t="s">
        <v>621</v>
      </c>
      <c r="AI74" s="245" t="s">
        <v>621</v>
      </c>
      <c r="AJ74" s="245" t="s">
        <v>621</v>
      </c>
      <c r="AK74" s="245" t="s">
        <v>621</v>
      </c>
      <c r="AL74" s="245" t="s">
        <v>621</v>
      </c>
      <c r="AM74" s="245" t="s">
        <v>621</v>
      </c>
      <c r="AN74" s="245" t="s">
        <v>621</v>
      </c>
      <c r="AO74" s="245" t="s">
        <v>621</v>
      </c>
      <c r="AP74" s="245" t="s">
        <v>621</v>
      </c>
      <c r="AQ74" s="245" t="s">
        <v>621</v>
      </c>
      <c r="AR74" s="245" t="s">
        <v>621</v>
      </c>
      <c r="AS74" s="245" t="s">
        <v>621</v>
      </c>
      <c r="AT74" s="245" t="s">
        <v>621</v>
      </c>
      <c r="AU74" s="245" t="s">
        <v>621</v>
      </c>
      <c r="AV74" s="245" t="s">
        <v>621</v>
      </c>
      <c r="AW74" s="245" t="s">
        <v>621</v>
      </c>
      <c r="AX74" s="245" t="s">
        <v>621</v>
      </c>
      <c r="AY74" s="245" t="s">
        <v>621</v>
      </c>
      <c r="AZ74" s="245">
        <v>6</v>
      </c>
      <c r="BA74" s="245" t="s">
        <v>621</v>
      </c>
      <c r="BB74" s="245" t="s">
        <v>621</v>
      </c>
      <c r="BC74" s="245" t="s">
        <v>621</v>
      </c>
      <c r="BD74" s="245" t="s">
        <v>621</v>
      </c>
      <c r="BE74" s="245" t="s">
        <v>621</v>
      </c>
      <c r="BF74" s="245" t="s">
        <v>621</v>
      </c>
      <c r="BG74" s="245">
        <v>6</v>
      </c>
      <c r="BH74" s="245" t="s">
        <v>621</v>
      </c>
      <c r="BI74" s="245" t="s">
        <v>621</v>
      </c>
      <c r="BJ74" s="245" t="s">
        <v>621</v>
      </c>
      <c r="BK74" s="245" t="s">
        <v>621</v>
      </c>
      <c r="BL74" s="245" t="s">
        <v>621</v>
      </c>
      <c r="BM74" s="245" t="s">
        <v>621</v>
      </c>
      <c r="BN74" s="245" t="s">
        <v>621</v>
      </c>
      <c r="BO74" s="245" t="s">
        <v>621</v>
      </c>
      <c r="BP74" s="245" t="s">
        <v>621</v>
      </c>
      <c r="BQ74" s="245" t="s">
        <v>621</v>
      </c>
      <c r="BR74" s="245" t="s">
        <v>621</v>
      </c>
      <c r="BS74" s="245" t="s">
        <v>621</v>
      </c>
      <c r="BT74" s="245" t="s">
        <v>621</v>
      </c>
      <c r="BU74" s="245" t="s">
        <v>621</v>
      </c>
      <c r="BV74" s="245" t="s">
        <v>621</v>
      </c>
      <c r="BW74" s="245" t="s">
        <v>621</v>
      </c>
      <c r="BX74" s="245" t="s">
        <v>621</v>
      </c>
      <c r="BY74" s="245" t="s">
        <v>621</v>
      </c>
      <c r="BZ74" s="245" t="s">
        <v>621</v>
      </c>
      <c r="CA74" s="245" t="s">
        <v>621</v>
      </c>
      <c r="CB74" s="245" t="s">
        <v>621</v>
      </c>
      <c r="CC74" s="245" t="s">
        <v>621</v>
      </c>
      <c r="CD74" s="245" t="s">
        <v>621</v>
      </c>
      <c r="CE74" s="245" t="s">
        <v>621</v>
      </c>
      <c r="CF74" s="245" t="s">
        <v>621</v>
      </c>
      <c r="CG74" s="245" t="s">
        <v>621</v>
      </c>
      <c r="CH74" s="245" t="s">
        <v>621</v>
      </c>
      <c r="CI74" s="245" t="s">
        <v>621</v>
      </c>
      <c r="CJ74" s="245" t="s">
        <v>621</v>
      </c>
      <c r="CK74" s="245" t="s">
        <v>621</v>
      </c>
      <c r="CL74" s="245" t="s">
        <v>621</v>
      </c>
      <c r="CM74" s="245" t="s">
        <v>621</v>
      </c>
      <c r="CN74" s="245" t="s">
        <v>621</v>
      </c>
      <c r="CO74" s="245" t="s">
        <v>621</v>
      </c>
      <c r="CP74" s="245" t="s">
        <v>621</v>
      </c>
      <c r="CQ74" s="245" t="s">
        <v>621</v>
      </c>
      <c r="CR74" s="245" t="s">
        <v>621</v>
      </c>
      <c r="CS74" s="245" t="s">
        <v>621</v>
      </c>
      <c r="CT74" s="245" t="s">
        <v>621</v>
      </c>
      <c r="CU74" s="245" t="s">
        <v>621</v>
      </c>
      <c r="CV74" s="245" t="s">
        <v>621</v>
      </c>
      <c r="CW74" s="245" t="s">
        <v>621</v>
      </c>
      <c r="CX74" s="245">
        <v>0</v>
      </c>
      <c r="CY74" s="245" t="s">
        <v>621</v>
      </c>
      <c r="CZ74" s="245" t="s">
        <v>621</v>
      </c>
      <c r="DA74" s="245" t="s">
        <v>621</v>
      </c>
      <c r="DB74" s="245" t="s">
        <v>621</v>
      </c>
      <c r="DC74" s="245" t="s">
        <v>621</v>
      </c>
      <c r="DD74" s="245">
        <v>6</v>
      </c>
      <c r="DE74" s="245">
        <v>0</v>
      </c>
      <c r="DF74" s="245" t="s">
        <v>621</v>
      </c>
      <c r="DG74" s="245" t="s">
        <v>621</v>
      </c>
      <c r="DH74" s="245" t="s">
        <v>621</v>
      </c>
      <c r="DI74" s="245" t="s">
        <v>621</v>
      </c>
      <c r="DJ74" s="245" t="s">
        <v>621</v>
      </c>
      <c r="DK74" s="245">
        <v>6</v>
      </c>
      <c r="DL74" s="245"/>
    </row>
    <row r="75" spans="1:116" s="250" customFormat="1" ht="75" customHeight="1" x14ac:dyDescent="0.45">
      <c r="C75" s="237"/>
      <c r="BJ75" s="237"/>
      <c r="BK75" s="237"/>
      <c r="BL75" s="237"/>
      <c r="BM75" s="237"/>
      <c r="BO75" s="237"/>
      <c r="CE75" s="237" t="s">
        <v>1743</v>
      </c>
      <c r="CF75" s="237"/>
      <c r="CG75" s="237"/>
      <c r="CH75" s="237"/>
      <c r="CJ75" s="237"/>
      <c r="CU75" s="1241" t="s">
        <v>1745</v>
      </c>
      <c r="CV75" s="1241"/>
      <c r="CW75" s="1241"/>
      <c r="CX75" s="1241"/>
      <c r="CY75" s="1241"/>
      <c r="CZ75" s="1241"/>
      <c r="DA75" s="1241"/>
      <c r="DB75" s="1241"/>
      <c r="DC75" s="1241"/>
      <c r="DD75" s="1241"/>
      <c r="DE75" s="1241"/>
      <c r="DF75" s="1241"/>
    </row>
  </sheetData>
  <mergeCells count="31">
    <mergeCell ref="A14:A17"/>
    <mergeCell ref="AT15:BG15"/>
    <mergeCell ref="CX15:DK15"/>
    <mergeCell ref="DE16:DK16"/>
    <mergeCell ref="BH16:BN16"/>
    <mergeCell ref="BO16:BU16"/>
    <mergeCell ref="BV15:CI15"/>
    <mergeCell ref="CJ15:CW15"/>
    <mergeCell ref="BV16:CB16"/>
    <mergeCell ref="CC16:CI16"/>
    <mergeCell ref="AF15:AS15"/>
    <mergeCell ref="BH15:BU15"/>
    <mergeCell ref="R14:AE15"/>
    <mergeCell ref="AT14:DK14"/>
    <mergeCell ref="AF14:AS14"/>
    <mergeCell ref="CU75:DF75"/>
    <mergeCell ref="DL14:DL17"/>
    <mergeCell ref="D14:Q15"/>
    <mergeCell ref="C14:C17"/>
    <mergeCell ref="B14:B17"/>
    <mergeCell ref="K16:Q16"/>
    <mergeCell ref="AF16:AL16"/>
    <mergeCell ref="AM16:AS16"/>
    <mergeCell ref="AT16:AZ16"/>
    <mergeCell ref="BA16:BG16"/>
    <mergeCell ref="CX16:DD16"/>
    <mergeCell ref="R16:X16"/>
    <mergeCell ref="Y16:AE16"/>
    <mergeCell ref="D16:J16"/>
    <mergeCell ref="CJ16:CP16"/>
    <mergeCell ref="CQ16:CW16"/>
  </mergeCells>
  <pageMargins left="0.70866141732283472" right="0.31496062992125984" top="0.15748031496062992" bottom="0.19685039370078741" header="0.31496062992125984" footer="0.31496062992125984"/>
  <pageSetup paperSize="8" scale="26" fitToWidth="2" orientation="landscape" r:id="rId1"/>
  <headerFooter differentFirst="1">
    <oddHeader>&amp;C&amp;P</oddHeader>
  </headerFooter>
  <colBreaks count="1" manualBreakCount="1">
    <brk id="80" max="7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C74"/>
  <sheetViews>
    <sheetView topLeftCell="A58" zoomScale="55" zoomScaleNormal="55" zoomScaleSheetLayoutView="40" workbookViewId="0">
      <selection activeCell="R89" sqref="R89"/>
    </sheetView>
  </sheetViews>
  <sheetFormatPr defaultRowHeight="20.25" x14ac:dyDescent="0.3"/>
  <cols>
    <col min="1" max="1" width="22" style="133" customWidth="1"/>
    <col min="2" max="2" width="48.875" style="133" customWidth="1"/>
    <col min="3" max="3" width="23.875" style="133" customWidth="1"/>
    <col min="4" max="4" width="15.375" style="133" customWidth="1"/>
    <col min="5" max="6" width="5.25" style="133" bestFit="1" customWidth="1"/>
    <col min="7" max="9" width="5.25" style="133" customWidth="1"/>
    <col min="10" max="10" width="9.75" style="133" customWidth="1"/>
    <col min="11" max="11" width="6" style="133" customWidth="1"/>
    <col min="12" max="12" width="13.75" style="133" customWidth="1"/>
    <col min="13" max="14" width="6" style="133" customWidth="1"/>
    <col min="15" max="15" width="12.625" style="133" customWidth="1"/>
    <col min="16" max="16" width="6" style="133" customWidth="1"/>
    <col min="17" max="17" width="13.5" style="133" customWidth="1"/>
    <col min="18" max="18" width="6" style="133" customWidth="1"/>
    <col min="19" max="19" width="10.375" style="133" customWidth="1"/>
    <col min="20" max="20" width="9.5" style="133" customWidth="1"/>
    <col min="21" max="21" width="6" style="133" customWidth="1"/>
    <col min="22" max="22" width="11.875" style="133" bestFit="1" customWidth="1"/>
    <col min="23" max="23" width="6" style="133" customWidth="1"/>
    <col min="24" max="25" width="10.125" style="133" customWidth="1"/>
    <col min="26" max="26" width="6" style="133" customWidth="1"/>
    <col min="27" max="27" width="11.875" style="133" bestFit="1" customWidth="1"/>
    <col min="28" max="28" width="6" style="133" customWidth="1"/>
    <col min="29" max="29" width="11.625" style="133" customWidth="1"/>
    <col min="30" max="31" width="6" style="133" customWidth="1"/>
    <col min="32" max="32" width="11.875" style="133" bestFit="1" customWidth="1"/>
    <col min="33" max="33" width="11.25" style="133" customWidth="1"/>
    <col min="34" max="34" width="10.125" style="133" customWidth="1"/>
    <col min="35" max="35" width="12.625" style="133" customWidth="1"/>
    <col min="36" max="36" width="6" style="133" customWidth="1"/>
    <col min="37" max="37" width="17.875" style="133" customWidth="1"/>
    <col min="38" max="38" width="11.25" style="133" customWidth="1"/>
    <col min="39" max="39" width="17.125" style="133" customWidth="1"/>
    <col min="40" max="40" width="5.75" style="133" customWidth="1"/>
    <col min="41" max="41" width="16.125" style="133" customWidth="1"/>
    <col min="42" max="42" width="21.25" style="133" customWidth="1"/>
    <col min="43" max="43" width="12.625" style="133" customWidth="1"/>
    <col min="44" max="44" width="22.375" style="133" customWidth="1"/>
    <col min="45" max="45" width="10.875" style="133" customWidth="1"/>
    <col min="46" max="46" width="17.375" style="133" customWidth="1"/>
    <col min="47" max="48" width="4.125" style="133" customWidth="1"/>
    <col min="49" max="49" width="3.75" style="133" customWidth="1"/>
    <col min="50" max="50" width="3.875" style="133" customWidth="1"/>
    <col min="51" max="51" width="4.5" style="133" customWidth="1"/>
    <col min="52" max="52" width="5" style="133" customWidth="1"/>
    <col min="53" max="53" width="5.5" style="133" customWidth="1"/>
    <col min="54" max="54" width="5.75" style="133" customWidth="1"/>
    <col min="55" max="55" width="5.5" style="133" customWidth="1"/>
    <col min="56" max="57" width="5" style="133" customWidth="1"/>
    <col min="58" max="58" width="12.875" style="133" customWidth="1"/>
    <col min="59" max="68" width="5" style="133" customWidth="1"/>
    <col min="69" max="16384" width="9" style="133"/>
  </cols>
  <sheetData>
    <row r="1" spans="1:55" x14ac:dyDescent="0.3">
      <c r="Q1" s="132"/>
      <c r="R1" s="132"/>
      <c r="S1" s="132"/>
      <c r="T1" s="132"/>
      <c r="U1" s="132"/>
      <c r="V1" s="132"/>
      <c r="W1" s="132"/>
      <c r="X1" s="132"/>
      <c r="AA1" s="132"/>
      <c r="AB1" s="132"/>
      <c r="AC1" s="132"/>
      <c r="AD1" s="132"/>
      <c r="AE1" s="132"/>
      <c r="AF1" s="132"/>
      <c r="AG1" s="132"/>
      <c r="AH1" s="132"/>
      <c r="AM1" s="138" t="s">
        <v>351</v>
      </c>
    </row>
    <row r="2" spans="1:55" x14ac:dyDescent="0.3">
      <c r="Q2" s="132"/>
      <c r="R2" s="132"/>
      <c r="S2" s="132"/>
      <c r="T2" s="132"/>
      <c r="U2" s="132"/>
      <c r="V2" s="132"/>
      <c r="W2" s="132"/>
      <c r="X2" s="132"/>
      <c r="AA2" s="132"/>
      <c r="AB2" s="132"/>
      <c r="AC2" s="132"/>
      <c r="AD2" s="132"/>
      <c r="AE2" s="132"/>
      <c r="AF2" s="132"/>
      <c r="AG2" s="132"/>
      <c r="AH2" s="132"/>
      <c r="AM2" s="140" t="s">
        <v>1</v>
      </c>
    </row>
    <row r="3" spans="1:55" x14ac:dyDescent="0.3">
      <c r="Q3" s="132"/>
      <c r="R3" s="132"/>
      <c r="S3" s="132"/>
      <c r="T3" s="132"/>
      <c r="U3" s="132"/>
      <c r="V3" s="132"/>
      <c r="W3" s="132"/>
      <c r="X3" s="132"/>
      <c r="AA3" s="132"/>
      <c r="AB3" s="132"/>
      <c r="AC3" s="132"/>
      <c r="AD3" s="132"/>
      <c r="AE3" s="132"/>
      <c r="AF3" s="132"/>
      <c r="AG3" s="132"/>
      <c r="AH3" s="132"/>
      <c r="AM3" s="140" t="s">
        <v>265</v>
      </c>
    </row>
    <row r="4" spans="1:55" x14ac:dyDescent="0.3">
      <c r="A4" s="1213" t="s">
        <v>397</v>
      </c>
      <c r="B4" s="1213"/>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c r="AM4" s="1213"/>
    </row>
    <row r="6" spans="1:55" s="129" customFormat="1" x14ac:dyDescent="0.3">
      <c r="A6" s="1158" t="s">
        <v>842</v>
      </c>
      <c r="B6" s="1158"/>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43"/>
      <c r="AO6" s="143"/>
      <c r="AP6" s="143"/>
      <c r="AQ6" s="143"/>
      <c r="AR6" s="143"/>
      <c r="AS6" s="143"/>
      <c r="AT6" s="143"/>
      <c r="AU6" s="143"/>
      <c r="AV6" s="143"/>
      <c r="AW6" s="143"/>
      <c r="AX6" s="143"/>
      <c r="AY6" s="143"/>
      <c r="AZ6" s="143"/>
      <c r="BA6" s="143"/>
      <c r="BB6" s="143"/>
      <c r="BC6" s="143"/>
    </row>
    <row r="7" spans="1:55" s="129" customFormat="1" x14ac:dyDescent="0.3">
      <c r="A7" s="1159" t="s">
        <v>313</v>
      </c>
      <c r="B7" s="1159"/>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64"/>
      <c r="AO7" s="164"/>
      <c r="AP7" s="164"/>
      <c r="AQ7" s="164"/>
      <c r="AR7" s="164"/>
      <c r="AS7" s="164"/>
      <c r="AT7" s="164"/>
      <c r="AU7" s="164"/>
      <c r="AV7" s="164"/>
      <c r="AW7" s="164"/>
      <c r="AX7" s="164"/>
      <c r="AY7" s="164"/>
      <c r="AZ7" s="164"/>
      <c r="BA7" s="164"/>
      <c r="BB7" s="164"/>
      <c r="BC7" s="164"/>
    </row>
    <row r="8" spans="1:55" s="129" customFormat="1" x14ac:dyDescent="0.3">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c r="AJ8" s="1249"/>
      <c r="AK8" s="1249"/>
      <c r="AL8" s="1249"/>
      <c r="AM8" s="1249"/>
    </row>
    <row r="9" spans="1:55" s="129" customFormat="1" x14ac:dyDescent="0.3">
      <c r="A9" s="1158" t="s">
        <v>1697</v>
      </c>
      <c r="B9" s="1158"/>
      <c r="C9" s="1158"/>
      <c r="D9" s="1158"/>
      <c r="E9" s="1158"/>
      <c r="F9" s="1158"/>
      <c r="G9" s="1158"/>
      <c r="H9" s="1158"/>
      <c r="I9" s="1158"/>
      <c r="J9" s="1158"/>
      <c r="K9" s="1158"/>
      <c r="L9" s="1158"/>
      <c r="M9" s="1158"/>
      <c r="N9" s="1158"/>
      <c r="O9" s="1158"/>
      <c r="P9" s="1158"/>
      <c r="Q9" s="1158"/>
      <c r="R9" s="1158"/>
      <c r="S9" s="1158"/>
      <c r="T9" s="1158"/>
      <c r="U9" s="1158"/>
      <c r="V9" s="1158"/>
      <c r="W9" s="1158"/>
      <c r="X9" s="1158"/>
      <c r="Y9" s="1158"/>
      <c r="Z9" s="1158"/>
      <c r="AA9" s="1158"/>
      <c r="AB9" s="1158"/>
      <c r="AC9" s="1158"/>
      <c r="AD9" s="1158"/>
      <c r="AE9" s="1158"/>
      <c r="AF9" s="1158"/>
      <c r="AG9" s="1158"/>
      <c r="AH9" s="1158"/>
      <c r="AI9" s="1158"/>
      <c r="AJ9" s="1158"/>
      <c r="AK9" s="1158"/>
      <c r="AL9" s="1158"/>
      <c r="AM9" s="1158"/>
      <c r="AN9" s="143"/>
      <c r="AO9" s="143"/>
      <c r="AP9" s="143"/>
      <c r="AQ9" s="143"/>
      <c r="AR9" s="143"/>
      <c r="AS9" s="143"/>
      <c r="AT9" s="143"/>
      <c r="AU9" s="143"/>
      <c r="AV9" s="143"/>
      <c r="AW9" s="143"/>
      <c r="AX9" s="143"/>
      <c r="AY9" s="143"/>
      <c r="AZ9" s="143"/>
      <c r="BA9" s="143"/>
      <c r="BB9" s="143"/>
      <c r="BC9" s="143"/>
    </row>
    <row r="10" spans="1:55" x14ac:dyDescent="0.3">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87"/>
      <c r="Z10" s="187"/>
      <c r="AA10" s="187"/>
      <c r="AB10" s="187"/>
      <c r="AC10" s="187"/>
      <c r="AD10" s="187"/>
      <c r="AE10" s="187"/>
      <c r="AF10" s="187"/>
      <c r="AG10" s="187"/>
      <c r="AH10" s="187"/>
      <c r="AI10" s="188"/>
      <c r="AJ10" s="132"/>
      <c r="AK10" s="132"/>
      <c r="AL10" s="132"/>
      <c r="AM10" s="132"/>
      <c r="AN10" s="132"/>
      <c r="AO10" s="132"/>
      <c r="AP10" s="132"/>
      <c r="AQ10" s="132"/>
      <c r="AR10" s="132"/>
      <c r="AS10" s="132"/>
      <c r="AT10" s="132"/>
      <c r="AU10" s="132"/>
      <c r="AV10" s="132"/>
      <c r="AW10" s="132"/>
      <c r="AX10" s="132"/>
    </row>
    <row r="11" spans="1:55" x14ac:dyDescent="0.3">
      <c r="A11" s="1210" t="s">
        <v>179</v>
      </c>
      <c r="B11" s="1210" t="s">
        <v>31</v>
      </c>
      <c r="C11" s="1210" t="s">
        <v>4</v>
      </c>
      <c r="D11" s="1210" t="s">
        <v>518</v>
      </c>
      <c r="E11" s="1245" t="s">
        <v>500</v>
      </c>
      <c r="F11" s="1246"/>
      <c r="G11" s="1246"/>
      <c r="H11" s="1246"/>
      <c r="I11" s="1247"/>
      <c r="J11" s="1244" t="s">
        <v>55</v>
      </c>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32"/>
      <c r="AO11" s="132"/>
      <c r="AP11" s="132"/>
      <c r="AQ11" s="132"/>
      <c r="AR11" s="132"/>
      <c r="AS11" s="132"/>
      <c r="AT11" s="132"/>
      <c r="AU11" s="132"/>
      <c r="AV11" s="132"/>
      <c r="AW11" s="132"/>
      <c r="AX11" s="132"/>
    </row>
    <row r="12" spans="1:55" x14ac:dyDescent="0.3">
      <c r="A12" s="1210"/>
      <c r="B12" s="1210"/>
      <c r="C12" s="1210"/>
      <c r="D12" s="1210"/>
      <c r="E12" s="1248"/>
      <c r="F12" s="1208"/>
      <c r="G12" s="1208"/>
      <c r="H12" s="1208"/>
      <c r="I12" s="1216"/>
      <c r="J12" s="1202" t="s">
        <v>759</v>
      </c>
      <c r="K12" s="1202"/>
      <c r="L12" s="1202"/>
      <c r="M12" s="1202"/>
      <c r="N12" s="1202"/>
      <c r="O12" s="1202" t="s">
        <v>760</v>
      </c>
      <c r="P12" s="1202"/>
      <c r="Q12" s="1202"/>
      <c r="R12" s="1202"/>
      <c r="S12" s="1202"/>
      <c r="T12" s="1202" t="s">
        <v>761</v>
      </c>
      <c r="U12" s="1202"/>
      <c r="V12" s="1202"/>
      <c r="W12" s="1202"/>
      <c r="X12" s="1202"/>
      <c r="Y12" s="1202" t="s">
        <v>762</v>
      </c>
      <c r="Z12" s="1202"/>
      <c r="AA12" s="1202"/>
      <c r="AB12" s="1202"/>
      <c r="AC12" s="1202"/>
      <c r="AD12" s="1202" t="s">
        <v>763</v>
      </c>
      <c r="AE12" s="1202"/>
      <c r="AF12" s="1202"/>
      <c r="AG12" s="1202"/>
      <c r="AH12" s="1202"/>
      <c r="AI12" s="1210" t="s">
        <v>3</v>
      </c>
      <c r="AJ12" s="1210"/>
      <c r="AK12" s="1210"/>
      <c r="AL12" s="1210"/>
      <c r="AM12" s="1210"/>
      <c r="AN12" s="132"/>
      <c r="AO12" s="132"/>
      <c r="AP12" s="132"/>
      <c r="AQ12" s="132"/>
      <c r="AR12" s="132"/>
      <c r="AS12" s="132"/>
      <c r="AT12" s="132"/>
      <c r="AU12" s="132"/>
      <c r="AV12" s="132"/>
      <c r="AW12" s="132"/>
      <c r="AX12" s="132"/>
    </row>
    <row r="13" spans="1:55" x14ac:dyDescent="0.3">
      <c r="A13" s="1210"/>
      <c r="B13" s="1210"/>
      <c r="C13" s="1210"/>
      <c r="D13" s="1210"/>
      <c r="E13" s="1202" t="s">
        <v>408</v>
      </c>
      <c r="F13" s="1202"/>
      <c r="G13" s="1202"/>
      <c r="H13" s="1202"/>
      <c r="I13" s="1202"/>
      <c r="J13" s="1202" t="s">
        <v>408</v>
      </c>
      <c r="K13" s="1202"/>
      <c r="L13" s="1202"/>
      <c r="M13" s="1202"/>
      <c r="N13" s="1202"/>
      <c r="O13" s="1202" t="s">
        <v>408</v>
      </c>
      <c r="P13" s="1202"/>
      <c r="Q13" s="1202"/>
      <c r="R13" s="1202"/>
      <c r="S13" s="1202"/>
      <c r="T13" s="1202" t="s">
        <v>408</v>
      </c>
      <c r="U13" s="1202"/>
      <c r="V13" s="1202"/>
      <c r="W13" s="1202"/>
      <c r="X13" s="1202"/>
      <c r="Y13" s="1202" t="s">
        <v>408</v>
      </c>
      <c r="Z13" s="1202"/>
      <c r="AA13" s="1202"/>
      <c r="AB13" s="1202"/>
      <c r="AC13" s="1202"/>
      <c r="AD13" s="1202" t="s">
        <v>408</v>
      </c>
      <c r="AE13" s="1202"/>
      <c r="AF13" s="1202"/>
      <c r="AG13" s="1202"/>
      <c r="AH13" s="1202"/>
      <c r="AI13" s="1202" t="s">
        <v>19</v>
      </c>
      <c r="AJ13" s="1202"/>
      <c r="AK13" s="1202"/>
      <c r="AL13" s="1202"/>
      <c r="AM13" s="1202"/>
      <c r="AN13" s="132"/>
      <c r="AO13" s="132"/>
      <c r="AP13" s="132"/>
      <c r="AQ13" s="132"/>
      <c r="AR13" s="132"/>
      <c r="AS13" s="132"/>
      <c r="AT13" s="132"/>
      <c r="AU13" s="132"/>
      <c r="AV13" s="132"/>
      <c r="AW13" s="132"/>
      <c r="AX13" s="132"/>
    </row>
    <row r="14" spans="1:55" ht="60.75" x14ac:dyDescent="0.3">
      <c r="A14" s="1210"/>
      <c r="B14" s="1210"/>
      <c r="C14" s="1210"/>
      <c r="D14" s="1210"/>
      <c r="E14" s="191" t="s">
        <v>5</v>
      </c>
      <c r="F14" s="191" t="s">
        <v>6</v>
      </c>
      <c r="G14" s="191" t="s">
        <v>268</v>
      </c>
      <c r="H14" s="191" t="s">
        <v>2</v>
      </c>
      <c r="I14" s="191" t="s">
        <v>148</v>
      </c>
      <c r="J14" s="191" t="s">
        <v>5</v>
      </c>
      <c r="K14" s="191" t="s">
        <v>6</v>
      </c>
      <c r="L14" s="191" t="s">
        <v>268</v>
      </c>
      <c r="M14" s="191" t="s">
        <v>2</v>
      </c>
      <c r="N14" s="191" t="s">
        <v>148</v>
      </c>
      <c r="O14" s="191" t="s">
        <v>5</v>
      </c>
      <c r="P14" s="191" t="s">
        <v>6</v>
      </c>
      <c r="Q14" s="191" t="s">
        <v>268</v>
      </c>
      <c r="R14" s="191" t="s">
        <v>2</v>
      </c>
      <c r="S14" s="191" t="s">
        <v>148</v>
      </c>
      <c r="T14" s="191" t="s">
        <v>5</v>
      </c>
      <c r="U14" s="191" t="s">
        <v>6</v>
      </c>
      <c r="V14" s="191" t="s">
        <v>268</v>
      </c>
      <c r="W14" s="191" t="s">
        <v>2</v>
      </c>
      <c r="X14" s="191" t="s">
        <v>148</v>
      </c>
      <c r="Y14" s="191" t="s">
        <v>5</v>
      </c>
      <c r="Z14" s="191" t="s">
        <v>6</v>
      </c>
      <c r="AA14" s="191" t="s">
        <v>268</v>
      </c>
      <c r="AB14" s="191" t="s">
        <v>2</v>
      </c>
      <c r="AC14" s="191" t="s">
        <v>148</v>
      </c>
      <c r="AD14" s="191" t="s">
        <v>5</v>
      </c>
      <c r="AE14" s="191" t="s">
        <v>6</v>
      </c>
      <c r="AF14" s="191" t="s">
        <v>268</v>
      </c>
      <c r="AG14" s="191" t="s">
        <v>2</v>
      </c>
      <c r="AH14" s="191" t="s">
        <v>148</v>
      </c>
      <c r="AI14" s="191" t="s">
        <v>5</v>
      </c>
      <c r="AJ14" s="191" t="s">
        <v>6</v>
      </c>
      <c r="AK14" s="191" t="s">
        <v>268</v>
      </c>
      <c r="AL14" s="191" t="s">
        <v>2</v>
      </c>
      <c r="AM14" s="191" t="s">
        <v>148</v>
      </c>
      <c r="AN14" s="132"/>
      <c r="AO14" s="132"/>
      <c r="AP14" s="132"/>
      <c r="AQ14" s="132"/>
      <c r="AR14" s="132"/>
      <c r="AS14" s="132"/>
      <c r="AT14" s="132"/>
      <c r="AU14" s="132"/>
      <c r="AV14" s="132"/>
      <c r="AW14" s="132"/>
      <c r="AX14" s="132"/>
    </row>
    <row r="15" spans="1:55" x14ac:dyDescent="0.3">
      <c r="A15" s="192">
        <v>1</v>
      </c>
      <c r="B15" s="192">
        <v>2</v>
      </c>
      <c r="C15" s="192">
        <v>3</v>
      </c>
      <c r="D15" s="192">
        <v>4</v>
      </c>
      <c r="E15" s="193" t="s">
        <v>213</v>
      </c>
      <c r="F15" s="193" t="s">
        <v>214</v>
      </c>
      <c r="G15" s="193" t="s">
        <v>215</v>
      </c>
      <c r="H15" s="193" t="s">
        <v>216</v>
      </c>
      <c r="I15" s="193" t="s">
        <v>217</v>
      </c>
      <c r="J15" s="193" t="s">
        <v>251</v>
      </c>
      <c r="K15" s="193" t="s">
        <v>252</v>
      </c>
      <c r="L15" s="193" t="s">
        <v>253</v>
      </c>
      <c r="M15" s="193" t="s">
        <v>254</v>
      </c>
      <c r="N15" s="193" t="s">
        <v>255</v>
      </c>
      <c r="O15" s="193" t="s">
        <v>258</v>
      </c>
      <c r="P15" s="193" t="s">
        <v>259</v>
      </c>
      <c r="Q15" s="193" t="s">
        <v>260</v>
      </c>
      <c r="R15" s="193" t="s">
        <v>261</v>
      </c>
      <c r="S15" s="193" t="s">
        <v>262</v>
      </c>
      <c r="T15" s="193" t="s">
        <v>269</v>
      </c>
      <c r="U15" s="193" t="s">
        <v>270</v>
      </c>
      <c r="V15" s="193" t="s">
        <v>271</v>
      </c>
      <c r="W15" s="193" t="s">
        <v>272</v>
      </c>
      <c r="X15" s="193" t="s">
        <v>273</v>
      </c>
      <c r="Y15" s="193" t="s">
        <v>276</v>
      </c>
      <c r="Z15" s="193" t="s">
        <v>277</v>
      </c>
      <c r="AA15" s="193" t="s">
        <v>278</v>
      </c>
      <c r="AB15" s="193" t="s">
        <v>279</v>
      </c>
      <c r="AC15" s="193" t="s">
        <v>280</v>
      </c>
      <c r="AD15" s="193" t="s">
        <v>283</v>
      </c>
      <c r="AE15" s="193" t="s">
        <v>284</v>
      </c>
      <c r="AF15" s="193" t="s">
        <v>285</v>
      </c>
      <c r="AG15" s="193" t="s">
        <v>286</v>
      </c>
      <c r="AH15" s="193" t="s">
        <v>287</v>
      </c>
      <c r="AI15" s="193" t="s">
        <v>297</v>
      </c>
      <c r="AJ15" s="193" t="s">
        <v>298</v>
      </c>
      <c r="AK15" s="193" t="s">
        <v>299</v>
      </c>
      <c r="AL15" s="193" t="s">
        <v>300</v>
      </c>
      <c r="AM15" s="193" t="s">
        <v>301</v>
      </c>
      <c r="AN15" s="132"/>
      <c r="AO15" s="132"/>
      <c r="AP15" s="132"/>
      <c r="AQ15" s="132"/>
      <c r="AR15" s="132"/>
      <c r="AS15" s="132"/>
      <c r="AT15" s="132"/>
      <c r="AU15" s="132"/>
      <c r="AV15" s="132"/>
      <c r="AW15" s="132"/>
      <c r="AX15" s="132"/>
    </row>
    <row r="16" spans="1:55" ht="64.5" customHeight="1" x14ac:dyDescent="0.3">
      <c r="A16" s="1080" t="s">
        <v>711</v>
      </c>
      <c r="B16" s="1081" t="s">
        <v>684</v>
      </c>
      <c r="C16" s="1077" t="s">
        <v>621</v>
      </c>
      <c r="D16" s="1077" t="s">
        <v>621</v>
      </c>
      <c r="E16" s="1077" t="s">
        <v>621</v>
      </c>
      <c r="F16" s="1077" t="s">
        <v>621</v>
      </c>
      <c r="G16" s="1077" t="s">
        <v>621</v>
      </c>
      <c r="H16" s="1077" t="s">
        <v>621</v>
      </c>
      <c r="I16" s="1077" t="s">
        <v>621</v>
      </c>
      <c r="J16" s="1077">
        <f>J17</f>
        <v>1.6</v>
      </c>
      <c r="K16" s="1077" t="s">
        <v>621</v>
      </c>
      <c r="L16" s="1082">
        <f>L17</f>
        <v>4.6820000000000004</v>
      </c>
      <c r="M16" s="1077" t="s">
        <v>621</v>
      </c>
      <c r="N16" s="1077">
        <f>N17</f>
        <v>28</v>
      </c>
      <c r="O16" s="1077">
        <f>O17</f>
        <v>0</v>
      </c>
      <c r="P16" s="1077" t="s">
        <v>621</v>
      </c>
      <c r="Q16" s="1078">
        <f>Q17</f>
        <v>19.242999999999999</v>
      </c>
      <c r="R16" s="1077" t="s">
        <v>621</v>
      </c>
      <c r="S16" s="1077">
        <f>S17</f>
        <v>2780</v>
      </c>
      <c r="T16" s="1077">
        <f>T17</f>
        <v>1.26</v>
      </c>
      <c r="U16" s="1077" t="s">
        <v>621</v>
      </c>
      <c r="V16" s="1078">
        <f>V17</f>
        <v>8.2680000000000007</v>
      </c>
      <c r="W16" s="1077" t="s">
        <v>621</v>
      </c>
      <c r="X16" s="1077">
        <f>X17</f>
        <v>2700</v>
      </c>
      <c r="Y16" s="1077">
        <f>Y17</f>
        <v>6.87</v>
      </c>
      <c r="Z16" s="1077" t="s">
        <v>621</v>
      </c>
      <c r="AA16" s="1078">
        <f>AA17</f>
        <v>4.8949999999999996</v>
      </c>
      <c r="AB16" s="1077" t="s">
        <v>621</v>
      </c>
      <c r="AC16" s="1077">
        <f>AC17</f>
        <v>2941</v>
      </c>
      <c r="AD16" s="1077" t="str">
        <f>AD17</f>
        <v>нд</v>
      </c>
      <c r="AE16" s="1077" t="s">
        <v>621</v>
      </c>
      <c r="AF16" s="1078">
        <f>AF17</f>
        <v>3.1389999999999998</v>
      </c>
      <c r="AG16" s="1077" t="s">
        <v>621</v>
      </c>
      <c r="AH16" s="1077">
        <f>AH17</f>
        <v>2860</v>
      </c>
      <c r="AI16" s="1077">
        <f>AI17</f>
        <v>9.73</v>
      </c>
      <c r="AJ16" s="1077" t="s">
        <v>621</v>
      </c>
      <c r="AK16" s="1079">
        <f>AK17</f>
        <v>40.226999999999997</v>
      </c>
      <c r="AL16" s="1077" t="s">
        <v>621</v>
      </c>
      <c r="AM16" s="1077">
        <f>S16+X16+AC16+AH16+N16</f>
        <v>11309</v>
      </c>
      <c r="AN16" s="132"/>
    </row>
    <row r="17" spans="1:40" s="200" customFormat="1" ht="81" customHeight="1" x14ac:dyDescent="0.25">
      <c r="A17" s="932" t="s">
        <v>713</v>
      </c>
      <c r="B17" s="933" t="s">
        <v>686</v>
      </c>
      <c r="C17" s="241" t="s">
        <v>621</v>
      </c>
      <c r="D17" s="241" t="s">
        <v>621</v>
      </c>
      <c r="E17" s="241" t="s">
        <v>621</v>
      </c>
      <c r="F17" s="241" t="s">
        <v>621</v>
      </c>
      <c r="G17" s="241" t="s">
        <v>621</v>
      </c>
      <c r="H17" s="241" t="s">
        <v>621</v>
      </c>
      <c r="I17" s="241" t="s">
        <v>621</v>
      </c>
      <c r="J17" s="241">
        <f>J18</f>
        <v>1.6</v>
      </c>
      <c r="K17" s="241" t="s">
        <v>621</v>
      </c>
      <c r="L17" s="934">
        <f>L18</f>
        <v>4.6820000000000004</v>
      </c>
      <c r="M17" s="241" t="s">
        <v>621</v>
      </c>
      <c r="N17" s="241">
        <f>N18</f>
        <v>28</v>
      </c>
      <c r="O17" s="241">
        <f>O18</f>
        <v>0</v>
      </c>
      <c r="P17" s="241" t="s">
        <v>621</v>
      </c>
      <c r="Q17" s="935">
        <f>Q18</f>
        <v>19.242999999999999</v>
      </c>
      <c r="R17" s="241" t="s">
        <v>621</v>
      </c>
      <c r="S17" s="241">
        <f>S18</f>
        <v>2780</v>
      </c>
      <c r="T17" s="241">
        <f>T18</f>
        <v>1.26</v>
      </c>
      <c r="U17" s="241" t="s">
        <v>621</v>
      </c>
      <c r="V17" s="935">
        <f>V18</f>
        <v>8.2680000000000007</v>
      </c>
      <c r="W17" s="241" t="s">
        <v>621</v>
      </c>
      <c r="X17" s="241">
        <f>X18</f>
        <v>2700</v>
      </c>
      <c r="Y17" s="241">
        <f>Y18</f>
        <v>6.87</v>
      </c>
      <c r="Z17" s="241" t="s">
        <v>621</v>
      </c>
      <c r="AA17" s="935">
        <f>AA18</f>
        <v>4.8949999999999996</v>
      </c>
      <c r="AB17" s="241" t="s">
        <v>621</v>
      </c>
      <c r="AC17" s="241">
        <f>AC18</f>
        <v>2941</v>
      </c>
      <c r="AD17" s="241" t="str">
        <f>AD18</f>
        <v>нд</v>
      </c>
      <c r="AE17" s="241" t="s">
        <v>621</v>
      </c>
      <c r="AF17" s="935">
        <f>AF18</f>
        <v>3.1389999999999998</v>
      </c>
      <c r="AG17" s="241" t="s">
        <v>621</v>
      </c>
      <c r="AH17" s="241">
        <f>AH18</f>
        <v>2860</v>
      </c>
      <c r="AI17" s="241">
        <f>AI18</f>
        <v>9.73</v>
      </c>
      <c r="AJ17" s="241" t="s">
        <v>621</v>
      </c>
      <c r="AK17" s="925">
        <f>L17+Q17+V17+AA17+AF17</f>
        <v>40.226999999999997</v>
      </c>
      <c r="AL17" s="241" t="s">
        <v>621</v>
      </c>
      <c r="AM17" s="936">
        <f>AM46+AM49</f>
        <v>11309</v>
      </c>
      <c r="AN17" s="186"/>
    </row>
    <row r="18" spans="1:40" s="200" customFormat="1" ht="27.75" x14ac:dyDescent="0.25">
      <c r="A18" s="579" t="s">
        <v>537</v>
      </c>
      <c r="B18" s="937" t="s">
        <v>691</v>
      </c>
      <c r="C18" s="241" t="s">
        <v>621</v>
      </c>
      <c r="D18" s="241" t="s">
        <v>621</v>
      </c>
      <c r="E18" s="241" t="s">
        <v>621</v>
      </c>
      <c r="F18" s="241" t="s">
        <v>621</v>
      </c>
      <c r="G18" s="241" t="s">
        <v>621</v>
      </c>
      <c r="H18" s="241" t="s">
        <v>621</v>
      </c>
      <c r="I18" s="241" t="s">
        <v>621</v>
      </c>
      <c r="J18" s="241">
        <f>J49</f>
        <v>1.6</v>
      </c>
      <c r="K18" s="241" t="s">
        <v>621</v>
      </c>
      <c r="L18" s="934">
        <f>L19</f>
        <v>4.6820000000000004</v>
      </c>
      <c r="M18" s="241" t="s">
        <v>621</v>
      </c>
      <c r="N18" s="241">
        <f>N49</f>
        <v>28</v>
      </c>
      <c r="O18" s="241">
        <f>O49</f>
        <v>0</v>
      </c>
      <c r="P18" s="241" t="s">
        <v>621</v>
      </c>
      <c r="Q18" s="935">
        <f>Q19</f>
        <v>19.242999999999999</v>
      </c>
      <c r="R18" s="241" t="s">
        <v>621</v>
      </c>
      <c r="S18" s="241">
        <f>S49+S46</f>
        <v>2780</v>
      </c>
      <c r="T18" s="241">
        <f>T49</f>
        <v>1.26</v>
      </c>
      <c r="U18" s="241" t="s">
        <v>621</v>
      </c>
      <c r="V18" s="935">
        <f>V19</f>
        <v>8.2680000000000007</v>
      </c>
      <c r="W18" s="241" t="s">
        <v>621</v>
      </c>
      <c r="X18" s="241">
        <f>X49+X46</f>
        <v>2700</v>
      </c>
      <c r="Y18" s="241">
        <f>Y49</f>
        <v>6.87</v>
      </c>
      <c r="Z18" s="241" t="s">
        <v>621</v>
      </c>
      <c r="AA18" s="935">
        <f>AA19</f>
        <v>4.8949999999999996</v>
      </c>
      <c r="AB18" s="241" t="s">
        <v>621</v>
      </c>
      <c r="AC18" s="241">
        <f>AC19</f>
        <v>2941</v>
      </c>
      <c r="AD18" s="241" t="str">
        <f>AD49</f>
        <v>нд</v>
      </c>
      <c r="AE18" s="241" t="s">
        <v>621</v>
      </c>
      <c r="AF18" s="935">
        <f>AF19</f>
        <v>3.1389999999999998</v>
      </c>
      <c r="AG18" s="241" t="s">
        <v>621</v>
      </c>
      <c r="AH18" s="241">
        <f>AH49+AH46</f>
        <v>2860</v>
      </c>
      <c r="AI18" s="241">
        <f>AI49</f>
        <v>9.73</v>
      </c>
      <c r="AJ18" s="241" t="s">
        <v>621</v>
      </c>
      <c r="AK18" s="925">
        <f>AK19</f>
        <v>40.226999999999997</v>
      </c>
      <c r="AL18" s="241" t="s">
        <v>621</v>
      </c>
      <c r="AM18" s="936">
        <f>S18+X18+AC18+AH18+N18</f>
        <v>11309</v>
      </c>
      <c r="AN18" s="186"/>
    </row>
    <row r="19" spans="1:40" s="200" customFormat="1" ht="138.75" customHeight="1" x14ac:dyDescent="0.25">
      <c r="A19" s="1080" t="s">
        <v>545</v>
      </c>
      <c r="B19" s="1081" t="s">
        <v>697</v>
      </c>
      <c r="C19" s="1077" t="s">
        <v>621</v>
      </c>
      <c r="D19" s="1077" t="s">
        <v>621</v>
      </c>
      <c r="E19" s="1077" t="s">
        <v>621</v>
      </c>
      <c r="F19" s="1077" t="s">
        <v>621</v>
      </c>
      <c r="G19" s="1077" t="s">
        <v>621</v>
      </c>
      <c r="H19" s="1077" t="s">
        <v>621</v>
      </c>
      <c r="I19" s="1077" t="s">
        <v>621</v>
      </c>
      <c r="J19" s="1077" t="s">
        <v>621</v>
      </c>
      <c r="K19" s="1077" t="s">
        <v>621</v>
      </c>
      <c r="L19" s="1079">
        <f>L20</f>
        <v>4.6820000000000004</v>
      </c>
      <c r="M19" s="1077" t="s">
        <v>621</v>
      </c>
      <c r="N19" s="1077" t="s">
        <v>621</v>
      </c>
      <c r="O19" s="1077" t="s">
        <v>621</v>
      </c>
      <c r="P19" s="1077" t="s">
        <v>621</v>
      </c>
      <c r="Q19" s="1079">
        <f>Q20</f>
        <v>19.242999999999999</v>
      </c>
      <c r="R19" s="1077" t="s">
        <v>621</v>
      </c>
      <c r="S19" s="1077" t="s">
        <v>621</v>
      </c>
      <c r="T19" s="1077" t="s">
        <v>621</v>
      </c>
      <c r="U19" s="1077" t="s">
        <v>621</v>
      </c>
      <c r="V19" s="1079">
        <f>V27+V28+V45</f>
        <v>8.2680000000000007</v>
      </c>
      <c r="W19" s="1077" t="s">
        <v>621</v>
      </c>
      <c r="X19" s="1077" t="s">
        <v>621</v>
      </c>
      <c r="Y19" s="1077" t="s">
        <v>621</v>
      </c>
      <c r="Z19" s="1077" t="s">
        <v>621</v>
      </c>
      <c r="AA19" s="1079">
        <f>AA20</f>
        <v>4.8949999999999996</v>
      </c>
      <c r="AB19" s="1077" t="s">
        <v>621</v>
      </c>
      <c r="AC19" s="1077">
        <f>AC46</f>
        <v>2941</v>
      </c>
      <c r="AD19" s="1077" t="s">
        <v>621</v>
      </c>
      <c r="AE19" s="1077" t="s">
        <v>621</v>
      </c>
      <c r="AF19" s="1079">
        <f>AF20</f>
        <v>3.1389999999999998</v>
      </c>
      <c r="AG19" s="1077" t="s">
        <v>621</v>
      </c>
      <c r="AH19" s="1077" t="s">
        <v>621</v>
      </c>
      <c r="AI19" s="1077" t="s">
        <v>621</v>
      </c>
      <c r="AJ19" s="1077" t="s">
        <v>621</v>
      </c>
      <c r="AK19" s="1079">
        <f>AK20</f>
        <v>40.226999999999997</v>
      </c>
      <c r="AL19" s="1077" t="s">
        <v>621</v>
      </c>
      <c r="AM19" s="1077" t="s">
        <v>621</v>
      </c>
      <c r="AN19" s="186"/>
    </row>
    <row r="20" spans="1:40" s="200" customFormat="1" ht="40.5" x14ac:dyDescent="0.25">
      <c r="A20" s="153" t="s">
        <v>595</v>
      </c>
      <c r="B20" s="908" t="s">
        <v>746</v>
      </c>
      <c r="C20" s="911" t="s">
        <v>621</v>
      </c>
      <c r="D20" s="911" t="s">
        <v>621</v>
      </c>
      <c r="E20" s="245" t="s">
        <v>621</v>
      </c>
      <c r="F20" s="245" t="s">
        <v>621</v>
      </c>
      <c r="G20" s="245" t="s">
        <v>621</v>
      </c>
      <c r="H20" s="245" t="s">
        <v>621</v>
      </c>
      <c r="I20" s="245" t="s">
        <v>621</v>
      </c>
      <c r="J20" s="245" t="s">
        <v>621</v>
      </c>
      <c r="K20" s="245" t="s">
        <v>621</v>
      </c>
      <c r="L20" s="257">
        <f>SUM(L21:L32)</f>
        <v>4.6820000000000004</v>
      </c>
      <c r="M20" s="245" t="s">
        <v>621</v>
      </c>
      <c r="N20" s="245" t="s">
        <v>621</v>
      </c>
      <c r="O20" s="245" t="s">
        <v>621</v>
      </c>
      <c r="P20" s="245" t="s">
        <v>621</v>
      </c>
      <c r="Q20" s="257">
        <f>SUM(Q21:Q44)</f>
        <v>19.242999999999999</v>
      </c>
      <c r="R20" s="245" t="s">
        <v>621</v>
      </c>
      <c r="S20" s="245" t="s">
        <v>621</v>
      </c>
      <c r="T20" s="245" t="s">
        <v>621</v>
      </c>
      <c r="U20" s="245" t="s">
        <v>621</v>
      </c>
      <c r="V20" s="257">
        <f>SUM(V21:V45)</f>
        <v>8.2680000000000007</v>
      </c>
      <c r="W20" s="245" t="s">
        <v>621</v>
      </c>
      <c r="X20" s="245" t="s">
        <v>621</v>
      </c>
      <c r="Y20" s="245" t="s">
        <v>621</v>
      </c>
      <c r="Z20" s="245" t="s">
        <v>621</v>
      </c>
      <c r="AA20" s="257">
        <f>SUM(AA21:AA32)</f>
        <v>4.8949999999999996</v>
      </c>
      <c r="AB20" s="245" t="s">
        <v>621</v>
      </c>
      <c r="AC20" s="245" t="s">
        <v>621</v>
      </c>
      <c r="AD20" s="245" t="s">
        <v>621</v>
      </c>
      <c r="AE20" s="245" t="s">
        <v>621</v>
      </c>
      <c r="AF20" s="257">
        <f>SUM(AF21:AF32)</f>
        <v>3.1389999999999998</v>
      </c>
      <c r="AG20" s="245" t="s">
        <v>621</v>
      </c>
      <c r="AH20" s="245" t="s">
        <v>621</v>
      </c>
      <c r="AI20" s="245" t="s">
        <v>621</v>
      </c>
      <c r="AJ20" s="245" t="s">
        <v>621</v>
      </c>
      <c r="AK20" s="257">
        <f>SUM(AK21:AK45)</f>
        <v>40.226999999999997</v>
      </c>
      <c r="AL20" s="245" t="s">
        <v>621</v>
      </c>
      <c r="AM20" s="241" t="s">
        <v>621</v>
      </c>
      <c r="AN20" s="913"/>
    </row>
    <row r="21" spans="1:40" s="340" customFormat="1" ht="60.75" x14ac:dyDescent="0.25">
      <c r="A21" s="153" t="s">
        <v>814</v>
      </c>
      <c r="B21" s="908" t="s">
        <v>815</v>
      </c>
      <c r="C21" s="911" t="s">
        <v>1044</v>
      </c>
      <c r="D21" s="911" t="s">
        <v>621</v>
      </c>
      <c r="E21" s="245" t="s">
        <v>621</v>
      </c>
      <c r="F21" s="245" t="s">
        <v>621</v>
      </c>
      <c r="G21" s="245" t="s">
        <v>621</v>
      </c>
      <c r="H21" s="245" t="s">
        <v>621</v>
      </c>
      <c r="I21" s="245" t="s">
        <v>621</v>
      </c>
      <c r="J21" s="245" t="s">
        <v>621</v>
      </c>
      <c r="K21" s="245" t="s">
        <v>621</v>
      </c>
      <c r="L21" s="256">
        <f>'7'!AJ24</f>
        <v>1.3</v>
      </c>
      <c r="M21" s="245" t="s">
        <v>621</v>
      </c>
      <c r="N21" s="245" t="s">
        <v>621</v>
      </c>
      <c r="O21" s="245" t="s">
        <v>621</v>
      </c>
      <c r="P21" s="245" t="s">
        <v>621</v>
      </c>
      <c r="Q21" s="245">
        <f>'7'!AX24</f>
        <v>0</v>
      </c>
      <c r="R21" s="245" t="s">
        <v>621</v>
      </c>
      <c r="S21" s="245" t="s">
        <v>621</v>
      </c>
      <c r="T21" s="245" t="s">
        <v>621</v>
      </c>
      <c r="U21" s="245" t="s">
        <v>621</v>
      </c>
      <c r="V21" s="245">
        <f>'7'!BL24</f>
        <v>0</v>
      </c>
      <c r="W21" s="245" t="s">
        <v>621</v>
      </c>
      <c r="X21" s="245" t="s">
        <v>621</v>
      </c>
      <c r="Y21" s="245" t="s">
        <v>621</v>
      </c>
      <c r="Z21" s="245" t="s">
        <v>621</v>
      </c>
      <c r="AA21" s="245">
        <f>'7'!BZ24</f>
        <v>0</v>
      </c>
      <c r="AB21" s="245" t="s">
        <v>621</v>
      </c>
      <c r="AC21" s="245" t="s">
        <v>621</v>
      </c>
      <c r="AD21" s="245" t="s">
        <v>621</v>
      </c>
      <c r="AE21" s="245" t="s">
        <v>621</v>
      </c>
      <c r="AF21" s="245">
        <f>'7'!CN24</f>
        <v>0</v>
      </c>
      <c r="AG21" s="245" t="s">
        <v>621</v>
      </c>
      <c r="AH21" s="245" t="s">
        <v>621</v>
      </c>
      <c r="AI21" s="245" t="s">
        <v>621</v>
      </c>
      <c r="AJ21" s="245" t="s">
        <v>621</v>
      </c>
      <c r="AK21" s="256">
        <f>'7'!DB24</f>
        <v>1.3</v>
      </c>
      <c r="AL21" s="245" t="s">
        <v>621</v>
      </c>
      <c r="AM21" s="241" t="s">
        <v>621</v>
      </c>
      <c r="AN21" s="913"/>
    </row>
    <row r="22" spans="1:40" s="340" customFormat="1" ht="60.75" x14ac:dyDescent="0.25">
      <c r="A22" s="153" t="s">
        <v>813</v>
      </c>
      <c r="B22" s="908" t="s">
        <v>859</v>
      </c>
      <c r="C22" s="911" t="s">
        <v>1045</v>
      </c>
      <c r="D22" s="911" t="s">
        <v>621</v>
      </c>
      <c r="E22" s="245" t="s">
        <v>621</v>
      </c>
      <c r="F22" s="245" t="s">
        <v>621</v>
      </c>
      <c r="G22" s="245" t="s">
        <v>621</v>
      </c>
      <c r="H22" s="245" t="s">
        <v>621</v>
      </c>
      <c r="I22" s="245" t="s">
        <v>621</v>
      </c>
      <c r="J22" s="245" t="s">
        <v>621</v>
      </c>
      <c r="K22" s="245" t="s">
        <v>621</v>
      </c>
      <c r="L22" s="256">
        <f>'7'!AJ25</f>
        <v>0.45300000000000001</v>
      </c>
      <c r="M22" s="245" t="s">
        <v>621</v>
      </c>
      <c r="N22" s="245" t="s">
        <v>621</v>
      </c>
      <c r="O22" s="245" t="s">
        <v>621</v>
      </c>
      <c r="P22" s="245" t="s">
        <v>621</v>
      </c>
      <c r="Q22" s="245">
        <f>'7'!AX25</f>
        <v>0</v>
      </c>
      <c r="R22" s="245" t="s">
        <v>621</v>
      </c>
      <c r="S22" s="245" t="s">
        <v>621</v>
      </c>
      <c r="T22" s="245" t="s">
        <v>621</v>
      </c>
      <c r="U22" s="245" t="s">
        <v>621</v>
      </c>
      <c r="V22" s="245">
        <f>'7'!BL25</f>
        <v>0</v>
      </c>
      <c r="W22" s="245" t="s">
        <v>621</v>
      </c>
      <c r="X22" s="245" t="s">
        <v>621</v>
      </c>
      <c r="Y22" s="245" t="s">
        <v>621</v>
      </c>
      <c r="Z22" s="245" t="s">
        <v>621</v>
      </c>
      <c r="AA22" s="245">
        <f>'7'!BZ25</f>
        <v>0</v>
      </c>
      <c r="AB22" s="245" t="s">
        <v>621</v>
      </c>
      <c r="AC22" s="245" t="s">
        <v>621</v>
      </c>
      <c r="AD22" s="245" t="s">
        <v>621</v>
      </c>
      <c r="AE22" s="245" t="s">
        <v>621</v>
      </c>
      <c r="AF22" s="245">
        <f>'7'!CN25</f>
        <v>0</v>
      </c>
      <c r="AG22" s="245" t="s">
        <v>621</v>
      </c>
      <c r="AH22" s="245" t="s">
        <v>621</v>
      </c>
      <c r="AI22" s="245" t="s">
        <v>621</v>
      </c>
      <c r="AJ22" s="245" t="s">
        <v>621</v>
      </c>
      <c r="AK22" s="256">
        <f>'7'!DB25</f>
        <v>0.45300000000000001</v>
      </c>
      <c r="AL22" s="245" t="s">
        <v>621</v>
      </c>
      <c r="AM22" s="241" t="s">
        <v>621</v>
      </c>
      <c r="AN22" s="913"/>
    </row>
    <row r="23" spans="1:40" s="492" customFormat="1" ht="121.5" x14ac:dyDescent="0.25">
      <c r="A23" s="153" t="s">
        <v>817</v>
      </c>
      <c r="B23" s="908" t="s">
        <v>934</v>
      </c>
      <c r="C23" s="911" t="s">
        <v>1046</v>
      </c>
      <c r="D23" s="911" t="s">
        <v>621</v>
      </c>
      <c r="E23" s="245" t="s">
        <v>621</v>
      </c>
      <c r="F23" s="245" t="s">
        <v>621</v>
      </c>
      <c r="G23" s="245" t="s">
        <v>621</v>
      </c>
      <c r="H23" s="245" t="s">
        <v>621</v>
      </c>
      <c r="I23" s="245" t="s">
        <v>621</v>
      </c>
      <c r="J23" s="245" t="s">
        <v>621</v>
      </c>
      <c r="K23" s="245" t="s">
        <v>621</v>
      </c>
      <c r="L23" s="256">
        <f>'7'!AQ26</f>
        <v>2.9289999999999998</v>
      </c>
      <c r="M23" s="245" t="s">
        <v>621</v>
      </c>
      <c r="N23" s="245" t="s">
        <v>621</v>
      </c>
      <c r="O23" s="245" t="s">
        <v>621</v>
      </c>
      <c r="P23" s="245" t="s">
        <v>621</v>
      </c>
      <c r="Q23" s="245">
        <f>'7'!AX26</f>
        <v>0</v>
      </c>
      <c r="R23" s="245" t="s">
        <v>621</v>
      </c>
      <c r="S23" s="245" t="s">
        <v>621</v>
      </c>
      <c r="T23" s="245" t="s">
        <v>621</v>
      </c>
      <c r="U23" s="245" t="s">
        <v>621</v>
      </c>
      <c r="V23" s="245">
        <f>'7'!BL26</f>
        <v>0</v>
      </c>
      <c r="W23" s="245" t="s">
        <v>621</v>
      </c>
      <c r="X23" s="245" t="s">
        <v>621</v>
      </c>
      <c r="Y23" s="245" t="s">
        <v>621</v>
      </c>
      <c r="Z23" s="245" t="s">
        <v>621</v>
      </c>
      <c r="AA23" s="245">
        <f>'7'!BZ26</f>
        <v>0</v>
      </c>
      <c r="AB23" s="245" t="s">
        <v>621</v>
      </c>
      <c r="AC23" s="245" t="s">
        <v>621</v>
      </c>
      <c r="AD23" s="245" t="s">
        <v>621</v>
      </c>
      <c r="AE23" s="245" t="s">
        <v>621</v>
      </c>
      <c r="AF23" s="245">
        <f>'7'!CN26</f>
        <v>0</v>
      </c>
      <c r="AG23" s="245" t="s">
        <v>621</v>
      </c>
      <c r="AH23" s="245" t="s">
        <v>621</v>
      </c>
      <c r="AI23" s="245" t="s">
        <v>621</v>
      </c>
      <c r="AJ23" s="245" t="s">
        <v>621</v>
      </c>
      <c r="AK23" s="256">
        <f>'7'!DI26</f>
        <v>2.9289999999999998</v>
      </c>
      <c r="AL23" s="245" t="s">
        <v>621</v>
      </c>
      <c r="AM23" s="241" t="s">
        <v>621</v>
      </c>
      <c r="AN23" s="913"/>
    </row>
    <row r="24" spans="1:40" s="340" customFormat="1" ht="101.25" x14ac:dyDescent="0.25">
      <c r="A24" s="153" t="s">
        <v>819</v>
      </c>
      <c r="B24" s="908" t="s">
        <v>816</v>
      </c>
      <c r="C24" s="911" t="s">
        <v>1047</v>
      </c>
      <c r="D24" s="911" t="s">
        <v>621</v>
      </c>
      <c r="E24" s="245" t="s">
        <v>621</v>
      </c>
      <c r="F24" s="245" t="s">
        <v>621</v>
      </c>
      <c r="G24" s="245" t="s">
        <v>621</v>
      </c>
      <c r="H24" s="245" t="s">
        <v>621</v>
      </c>
      <c r="I24" s="245" t="s">
        <v>621</v>
      </c>
      <c r="J24" s="245" t="s">
        <v>621</v>
      </c>
      <c r="K24" s="245" t="s">
        <v>621</v>
      </c>
      <c r="L24" s="256">
        <f>'7'!AJ27</f>
        <v>0</v>
      </c>
      <c r="M24" s="245" t="s">
        <v>621</v>
      </c>
      <c r="N24" s="245" t="s">
        <v>621</v>
      </c>
      <c r="O24" s="245" t="s">
        <v>621</v>
      </c>
      <c r="P24" s="245" t="s">
        <v>621</v>
      </c>
      <c r="Q24" s="245">
        <f>'6'!AK28</f>
        <v>4.3159999999999998</v>
      </c>
      <c r="R24" s="245" t="s">
        <v>621</v>
      </c>
      <c r="S24" s="245" t="s">
        <v>621</v>
      </c>
      <c r="T24" s="245" t="s">
        <v>621</v>
      </c>
      <c r="U24" s="245" t="s">
        <v>621</v>
      </c>
      <c r="V24" s="245">
        <f>'7'!BL27</f>
        <v>0</v>
      </c>
      <c r="W24" s="245" t="s">
        <v>621</v>
      </c>
      <c r="X24" s="245" t="s">
        <v>621</v>
      </c>
      <c r="Y24" s="245" t="s">
        <v>621</v>
      </c>
      <c r="Z24" s="245" t="s">
        <v>621</v>
      </c>
      <c r="AA24" s="245">
        <f>'7'!BZ27</f>
        <v>0</v>
      </c>
      <c r="AB24" s="245" t="s">
        <v>621</v>
      </c>
      <c r="AC24" s="245" t="s">
        <v>621</v>
      </c>
      <c r="AD24" s="245" t="s">
        <v>621</v>
      </c>
      <c r="AE24" s="245" t="s">
        <v>621</v>
      </c>
      <c r="AF24" s="245">
        <f>'7'!CN27</f>
        <v>0</v>
      </c>
      <c r="AG24" s="245" t="s">
        <v>621</v>
      </c>
      <c r="AH24" s="245" t="s">
        <v>621</v>
      </c>
      <c r="AI24" s="245" t="s">
        <v>621</v>
      </c>
      <c r="AJ24" s="245" t="s">
        <v>621</v>
      </c>
      <c r="AK24" s="256">
        <f>Q24</f>
        <v>4.3159999999999998</v>
      </c>
      <c r="AL24" s="245" t="s">
        <v>621</v>
      </c>
      <c r="AM24" s="241" t="s">
        <v>621</v>
      </c>
      <c r="AN24" s="913"/>
    </row>
    <row r="25" spans="1:40" s="340" customFormat="1" ht="101.25" x14ac:dyDescent="0.25">
      <c r="A25" s="153" t="s">
        <v>820</v>
      </c>
      <c r="B25" s="908" t="s">
        <v>903</v>
      </c>
      <c r="C25" s="911" t="s">
        <v>1048</v>
      </c>
      <c r="D25" s="911" t="s">
        <v>621</v>
      </c>
      <c r="E25" s="245" t="s">
        <v>621</v>
      </c>
      <c r="F25" s="245" t="s">
        <v>621</v>
      </c>
      <c r="G25" s="245" t="s">
        <v>621</v>
      </c>
      <c r="H25" s="245" t="s">
        <v>621</v>
      </c>
      <c r="I25" s="245" t="s">
        <v>621</v>
      </c>
      <c r="J25" s="245" t="s">
        <v>621</v>
      </c>
      <c r="K25" s="245" t="s">
        <v>621</v>
      </c>
      <c r="L25" s="256">
        <f>'7'!AJ28</f>
        <v>0</v>
      </c>
      <c r="M25" s="245" t="s">
        <v>621</v>
      </c>
      <c r="N25" s="245" t="s">
        <v>621</v>
      </c>
      <c r="O25" s="245" t="s">
        <v>621</v>
      </c>
      <c r="P25" s="245" t="s">
        <v>621</v>
      </c>
      <c r="Q25" s="245">
        <f>'6'!AK29</f>
        <v>7.1050000000000004</v>
      </c>
      <c r="R25" s="245" t="s">
        <v>621</v>
      </c>
      <c r="S25" s="245" t="s">
        <v>621</v>
      </c>
      <c r="T25" s="245" t="s">
        <v>621</v>
      </c>
      <c r="U25" s="245" t="s">
        <v>621</v>
      </c>
      <c r="V25" s="245">
        <f>'7'!BL28</f>
        <v>0</v>
      </c>
      <c r="W25" s="245" t="s">
        <v>621</v>
      </c>
      <c r="X25" s="245" t="s">
        <v>621</v>
      </c>
      <c r="Y25" s="245" t="s">
        <v>621</v>
      </c>
      <c r="Z25" s="245" t="s">
        <v>621</v>
      </c>
      <c r="AA25" s="245">
        <f>'7'!BZ28</f>
        <v>0</v>
      </c>
      <c r="AB25" s="245" t="s">
        <v>621</v>
      </c>
      <c r="AC25" s="245" t="s">
        <v>621</v>
      </c>
      <c r="AD25" s="245" t="s">
        <v>621</v>
      </c>
      <c r="AE25" s="245" t="s">
        <v>621</v>
      </c>
      <c r="AF25" s="245">
        <f>'7'!CN28</f>
        <v>0</v>
      </c>
      <c r="AG25" s="245" t="s">
        <v>621</v>
      </c>
      <c r="AH25" s="245" t="s">
        <v>621</v>
      </c>
      <c r="AI25" s="245" t="s">
        <v>621</v>
      </c>
      <c r="AJ25" s="245" t="s">
        <v>621</v>
      </c>
      <c r="AK25" s="256">
        <f t="shared" ref="AK25:AK44" si="0">Q25</f>
        <v>7.1050000000000004</v>
      </c>
      <c r="AL25" s="245" t="s">
        <v>621</v>
      </c>
      <c r="AM25" s="241" t="s">
        <v>621</v>
      </c>
      <c r="AN25" s="913"/>
    </row>
    <row r="26" spans="1:40" s="340" customFormat="1" ht="60.75" x14ac:dyDescent="0.25">
      <c r="A26" s="153" t="s">
        <v>863</v>
      </c>
      <c r="B26" s="908" t="s">
        <v>915</v>
      </c>
      <c r="C26" s="911" t="s">
        <v>1049</v>
      </c>
      <c r="D26" s="911" t="s">
        <v>621</v>
      </c>
      <c r="E26" s="245" t="s">
        <v>621</v>
      </c>
      <c r="F26" s="245" t="s">
        <v>621</v>
      </c>
      <c r="G26" s="245" t="s">
        <v>621</v>
      </c>
      <c r="H26" s="245" t="s">
        <v>621</v>
      </c>
      <c r="I26" s="245" t="s">
        <v>621</v>
      </c>
      <c r="J26" s="245" t="s">
        <v>621</v>
      </c>
      <c r="K26" s="245" t="s">
        <v>621</v>
      </c>
      <c r="L26" s="256">
        <f>'7'!AJ29</f>
        <v>0</v>
      </c>
      <c r="M26" s="245" t="s">
        <v>621</v>
      </c>
      <c r="N26" s="245" t="s">
        <v>621</v>
      </c>
      <c r="O26" s="245" t="s">
        <v>621</v>
      </c>
      <c r="P26" s="245" t="s">
        <v>621</v>
      </c>
      <c r="Q26" s="245">
        <f>'6'!AK30</f>
        <v>0</v>
      </c>
      <c r="R26" s="245" t="s">
        <v>621</v>
      </c>
      <c r="S26" s="245" t="s">
        <v>621</v>
      </c>
      <c r="T26" s="245" t="s">
        <v>621</v>
      </c>
      <c r="U26" s="245" t="s">
        <v>621</v>
      </c>
      <c r="V26" s="245">
        <f>'7'!BL29</f>
        <v>0</v>
      </c>
      <c r="W26" s="245" t="s">
        <v>621</v>
      </c>
      <c r="X26" s="245" t="s">
        <v>621</v>
      </c>
      <c r="Y26" s="245" t="s">
        <v>621</v>
      </c>
      <c r="Z26" s="245" t="s">
        <v>621</v>
      </c>
      <c r="AA26" s="245">
        <f>'7'!BZ29</f>
        <v>0</v>
      </c>
      <c r="AB26" s="245" t="s">
        <v>621</v>
      </c>
      <c r="AC26" s="245" t="s">
        <v>621</v>
      </c>
      <c r="AD26" s="245" t="s">
        <v>621</v>
      </c>
      <c r="AE26" s="245" t="s">
        <v>621</v>
      </c>
      <c r="AF26" s="245">
        <f>'7'!CN29</f>
        <v>0</v>
      </c>
      <c r="AG26" s="245" t="s">
        <v>621</v>
      </c>
      <c r="AH26" s="245" t="s">
        <v>621</v>
      </c>
      <c r="AI26" s="245" t="s">
        <v>621</v>
      </c>
      <c r="AJ26" s="245" t="s">
        <v>621</v>
      </c>
      <c r="AK26" s="256">
        <f t="shared" si="0"/>
        <v>0</v>
      </c>
      <c r="AL26" s="245" t="s">
        <v>621</v>
      </c>
      <c r="AM26" s="241" t="s">
        <v>621</v>
      </c>
      <c r="AN26" s="913"/>
    </row>
    <row r="27" spans="1:40" s="340" customFormat="1" ht="60.75" x14ac:dyDescent="0.25">
      <c r="A27" s="153" t="s">
        <v>864</v>
      </c>
      <c r="B27" s="908" t="s">
        <v>818</v>
      </c>
      <c r="C27" s="911" t="s">
        <v>1050</v>
      </c>
      <c r="D27" s="911" t="s">
        <v>621</v>
      </c>
      <c r="E27" s="245" t="s">
        <v>621</v>
      </c>
      <c r="F27" s="245" t="s">
        <v>621</v>
      </c>
      <c r="G27" s="245" t="s">
        <v>621</v>
      </c>
      <c r="H27" s="245" t="s">
        <v>621</v>
      </c>
      <c r="I27" s="245" t="s">
        <v>621</v>
      </c>
      <c r="J27" s="245" t="s">
        <v>621</v>
      </c>
      <c r="K27" s="245" t="s">
        <v>621</v>
      </c>
      <c r="L27" s="256">
        <f>'7'!AJ30</f>
        <v>0</v>
      </c>
      <c r="M27" s="245" t="s">
        <v>621</v>
      </c>
      <c r="N27" s="245" t="s">
        <v>621</v>
      </c>
      <c r="O27" s="245" t="s">
        <v>621</v>
      </c>
      <c r="P27" s="245" t="s">
        <v>621</v>
      </c>
      <c r="Q27" s="245">
        <f>'6'!AK31</f>
        <v>0</v>
      </c>
      <c r="R27" s="245" t="s">
        <v>621</v>
      </c>
      <c r="S27" s="245" t="s">
        <v>621</v>
      </c>
      <c r="T27" s="245" t="s">
        <v>621</v>
      </c>
      <c r="U27" s="245" t="s">
        <v>621</v>
      </c>
      <c r="V27" s="245">
        <f>'7'!BL30</f>
        <v>1.3080000000000001</v>
      </c>
      <c r="W27" s="245" t="s">
        <v>621</v>
      </c>
      <c r="X27" s="245" t="s">
        <v>621</v>
      </c>
      <c r="Y27" s="245" t="s">
        <v>621</v>
      </c>
      <c r="Z27" s="245" t="s">
        <v>621</v>
      </c>
      <c r="AA27" s="245">
        <f>'7'!BZ30</f>
        <v>0</v>
      </c>
      <c r="AB27" s="245" t="s">
        <v>621</v>
      </c>
      <c r="AC27" s="245" t="s">
        <v>621</v>
      </c>
      <c r="AD27" s="245" t="s">
        <v>621</v>
      </c>
      <c r="AE27" s="245" t="s">
        <v>621</v>
      </c>
      <c r="AF27" s="245">
        <f>'7'!CN30</f>
        <v>0</v>
      </c>
      <c r="AG27" s="245" t="s">
        <v>621</v>
      </c>
      <c r="AH27" s="245" t="s">
        <v>621</v>
      </c>
      <c r="AI27" s="245" t="s">
        <v>621</v>
      </c>
      <c r="AJ27" s="245" t="s">
        <v>621</v>
      </c>
      <c r="AK27" s="256">
        <f>V27</f>
        <v>1.3080000000000001</v>
      </c>
      <c r="AL27" s="245" t="s">
        <v>621</v>
      </c>
      <c r="AM27" s="241" t="s">
        <v>621</v>
      </c>
      <c r="AN27" s="913"/>
    </row>
    <row r="28" spans="1:40" s="340" customFormat="1" ht="81" x14ac:dyDescent="0.25">
      <c r="A28" s="153" t="s">
        <v>868</v>
      </c>
      <c r="B28" s="908" t="s">
        <v>870</v>
      </c>
      <c r="C28" s="911" t="s">
        <v>1051</v>
      </c>
      <c r="D28" s="911" t="s">
        <v>621</v>
      </c>
      <c r="E28" s="245" t="s">
        <v>621</v>
      </c>
      <c r="F28" s="245" t="s">
        <v>621</v>
      </c>
      <c r="G28" s="245" t="s">
        <v>621</v>
      </c>
      <c r="H28" s="245" t="s">
        <v>621</v>
      </c>
      <c r="I28" s="245" t="s">
        <v>621</v>
      </c>
      <c r="J28" s="245" t="s">
        <v>621</v>
      </c>
      <c r="K28" s="245" t="s">
        <v>621</v>
      </c>
      <c r="L28" s="256">
        <f>'7'!AJ31</f>
        <v>0</v>
      </c>
      <c r="M28" s="245" t="s">
        <v>621</v>
      </c>
      <c r="N28" s="245" t="s">
        <v>621</v>
      </c>
      <c r="O28" s="245" t="s">
        <v>621</v>
      </c>
      <c r="P28" s="245" t="s">
        <v>621</v>
      </c>
      <c r="Q28" s="245">
        <f>'6'!AK32</f>
        <v>0</v>
      </c>
      <c r="R28" s="245" t="s">
        <v>621</v>
      </c>
      <c r="S28" s="245" t="s">
        <v>621</v>
      </c>
      <c r="T28" s="245" t="s">
        <v>621</v>
      </c>
      <c r="U28" s="245" t="s">
        <v>621</v>
      </c>
      <c r="V28" s="245">
        <v>0</v>
      </c>
      <c r="W28" s="245" t="s">
        <v>621</v>
      </c>
      <c r="X28" s="245" t="s">
        <v>621</v>
      </c>
      <c r="Y28" s="245" t="s">
        <v>621</v>
      </c>
      <c r="Z28" s="245" t="s">
        <v>621</v>
      </c>
      <c r="AA28" s="245">
        <f>'7'!BZ31</f>
        <v>0</v>
      </c>
      <c r="AB28" s="245" t="s">
        <v>621</v>
      </c>
      <c r="AC28" s="245" t="s">
        <v>621</v>
      </c>
      <c r="AD28" s="245" t="s">
        <v>621</v>
      </c>
      <c r="AE28" s="245" t="s">
        <v>621</v>
      </c>
      <c r="AF28" s="245">
        <f>'7'!CN31</f>
        <v>0</v>
      </c>
      <c r="AG28" s="245" t="s">
        <v>621</v>
      </c>
      <c r="AH28" s="245" t="s">
        <v>621</v>
      </c>
      <c r="AI28" s="245" t="s">
        <v>621</v>
      </c>
      <c r="AJ28" s="245" t="s">
        <v>621</v>
      </c>
      <c r="AK28" s="256">
        <f t="shared" si="0"/>
        <v>0</v>
      </c>
      <c r="AL28" s="245" t="s">
        <v>621</v>
      </c>
      <c r="AM28" s="241" t="s">
        <v>621</v>
      </c>
      <c r="AN28" s="913"/>
    </row>
    <row r="29" spans="1:40" s="340" customFormat="1" ht="162" x14ac:dyDescent="0.25">
      <c r="A29" s="153" t="s">
        <v>869</v>
      </c>
      <c r="B29" s="908" t="s">
        <v>876</v>
      </c>
      <c r="C29" s="911" t="s">
        <v>1052</v>
      </c>
      <c r="D29" s="911" t="s">
        <v>621</v>
      </c>
      <c r="E29" s="245" t="s">
        <v>621</v>
      </c>
      <c r="F29" s="245" t="s">
        <v>621</v>
      </c>
      <c r="G29" s="245" t="s">
        <v>621</v>
      </c>
      <c r="H29" s="245" t="s">
        <v>621</v>
      </c>
      <c r="I29" s="245" t="s">
        <v>621</v>
      </c>
      <c r="J29" s="245" t="s">
        <v>621</v>
      </c>
      <c r="K29" s="245" t="s">
        <v>621</v>
      </c>
      <c r="L29" s="256">
        <f>'7'!AJ32</f>
        <v>0</v>
      </c>
      <c r="M29" s="245" t="s">
        <v>621</v>
      </c>
      <c r="N29" s="245" t="s">
        <v>621</v>
      </c>
      <c r="O29" s="245" t="s">
        <v>621</v>
      </c>
      <c r="P29" s="245" t="s">
        <v>621</v>
      </c>
      <c r="Q29" s="245">
        <f>'6'!AK33</f>
        <v>0</v>
      </c>
      <c r="R29" s="245" t="s">
        <v>621</v>
      </c>
      <c r="S29" s="245" t="s">
        <v>621</v>
      </c>
      <c r="T29" s="245" t="s">
        <v>621</v>
      </c>
      <c r="U29" s="245" t="s">
        <v>621</v>
      </c>
      <c r="V29" s="245">
        <f>'7'!BL32</f>
        <v>0</v>
      </c>
      <c r="W29" s="245" t="s">
        <v>621</v>
      </c>
      <c r="X29" s="245" t="s">
        <v>621</v>
      </c>
      <c r="Y29" s="245" t="s">
        <v>621</v>
      </c>
      <c r="Z29" s="245" t="s">
        <v>621</v>
      </c>
      <c r="AA29" s="245">
        <f>'7'!BZ32</f>
        <v>4.8949999999999996</v>
      </c>
      <c r="AB29" s="245" t="s">
        <v>621</v>
      </c>
      <c r="AC29" s="245" t="s">
        <v>621</v>
      </c>
      <c r="AD29" s="245" t="s">
        <v>621</v>
      </c>
      <c r="AE29" s="245" t="s">
        <v>621</v>
      </c>
      <c r="AF29" s="245">
        <f>'7'!CN32</f>
        <v>0</v>
      </c>
      <c r="AG29" s="245" t="s">
        <v>621</v>
      </c>
      <c r="AH29" s="245" t="s">
        <v>621</v>
      </c>
      <c r="AI29" s="245" t="s">
        <v>621</v>
      </c>
      <c r="AJ29" s="245" t="s">
        <v>621</v>
      </c>
      <c r="AK29" s="256">
        <f>AA29</f>
        <v>4.8949999999999996</v>
      </c>
      <c r="AL29" s="245" t="s">
        <v>621</v>
      </c>
      <c r="AM29" s="241" t="s">
        <v>621</v>
      </c>
      <c r="AN29" s="913"/>
    </row>
    <row r="30" spans="1:40" s="340" customFormat="1" ht="40.5" x14ac:dyDescent="0.25">
      <c r="A30" s="153" t="s">
        <v>874</v>
      </c>
      <c r="B30" s="154" t="s">
        <v>821</v>
      </c>
      <c r="C30" s="911" t="s">
        <v>1053</v>
      </c>
      <c r="D30" s="911" t="s">
        <v>621</v>
      </c>
      <c r="E30" s="245" t="s">
        <v>621</v>
      </c>
      <c r="F30" s="245" t="s">
        <v>621</v>
      </c>
      <c r="G30" s="245" t="s">
        <v>621</v>
      </c>
      <c r="H30" s="245" t="s">
        <v>621</v>
      </c>
      <c r="I30" s="245" t="s">
        <v>621</v>
      </c>
      <c r="J30" s="245" t="s">
        <v>621</v>
      </c>
      <c r="K30" s="245" t="s">
        <v>621</v>
      </c>
      <c r="L30" s="256">
        <f>'7'!AJ33</f>
        <v>0</v>
      </c>
      <c r="M30" s="245" t="s">
        <v>621</v>
      </c>
      <c r="N30" s="245" t="s">
        <v>621</v>
      </c>
      <c r="O30" s="245" t="s">
        <v>621</v>
      </c>
      <c r="P30" s="245" t="s">
        <v>621</v>
      </c>
      <c r="Q30" s="245">
        <f>'6'!AK34</f>
        <v>0</v>
      </c>
      <c r="R30" s="245" t="s">
        <v>621</v>
      </c>
      <c r="S30" s="245" t="s">
        <v>621</v>
      </c>
      <c r="T30" s="245" t="s">
        <v>621</v>
      </c>
      <c r="U30" s="245" t="s">
        <v>621</v>
      </c>
      <c r="V30" s="245">
        <f>'7'!BL33</f>
        <v>0</v>
      </c>
      <c r="W30" s="245" t="s">
        <v>621</v>
      </c>
      <c r="X30" s="245" t="s">
        <v>621</v>
      </c>
      <c r="Y30" s="245" t="s">
        <v>621</v>
      </c>
      <c r="Z30" s="245" t="s">
        <v>621</v>
      </c>
      <c r="AA30" s="245">
        <f>'7'!BZ33</f>
        <v>0</v>
      </c>
      <c r="AB30" s="245" t="s">
        <v>621</v>
      </c>
      <c r="AC30" s="245" t="s">
        <v>621</v>
      </c>
      <c r="AD30" s="245" t="s">
        <v>621</v>
      </c>
      <c r="AE30" s="245" t="s">
        <v>621</v>
      </c>
      <c r="AF30" s="245">
        <f>'7'!CN33</f>
        <v>1.538</v>
      </c>
      <c r="AG30" s="245" t="s">
        <v>621</v>
      </c>
      <c r="AH30" s="245" t="s">
        <v>621</v>
      </c>
      <c r="AI30" s="245" t="s">
        <v>621</v>
      </c>
      <c r="AJ30" s="245" t="s">
        <v>621</v>
      </c>
      <c r="AK30" s="256">
        <f>AF30</f>
        <v>1.538</v>
      </c>
      <c r="AL30" s="245" t="s">
        <v>621</v>
      </c>
      <c r="AM30" s="241" t="s">
        <v>621</v>
      </c>
      <c r="AN30" s="913"/>
    </row>
    <row r="31" spans="1:40" s="340" customFormat="1" ht="81" x14ac:dyDescent="0.25">
      <c r="A31" s="153" t="s">
        <v>875</v>
      </c>
      <c r="B31" s="154" t="s">
        <v>1042</v>
      </c>
      <c r="C31" s="911" t="s">
        <v>1054</v>
      </c>
      <c r="D31" s="911" t="s">
        <v>621</v>
      </c>
      <c r="E31" s="245" t="s">
        <v>621</v>
      </c>
      <c r="F31" s="245" t="s">
        <v>621</v>
      </c>
      <c r="G31" s="245" t="s">
        <v>621</v>
      </c>
      <c r="H31" s="245" t="s">
        <v>621</v>
      </c>
      <c r="I31" s="245" t="s">
        <v>621</v>
      </c>
      <c r="J31" s="245" t="s">
        <v>621</v>
      </c>
      <c r="K31" s="245" t="s">
        <v>621</v>
      </c>
      <c r="L31" s="256">
        <f>'7'!AJ34</f>
        <v>0</v>
      </c>
      <c r="M31" s="245" t="s">
        <v>621</v>
      </c>
      <c r="N31" s="245" t="s">
        <v>621</v>
      </c>
      <c r="O31" s="245" t="s">
        <v>621</v>
      </c>
      <c r="P31" s="245" t="s">
        <v>621</v>
      </c>
      <c r="Q31" s="245">
        <f>'6'!AK35</f>
        <v>0</v>
      </c>
      <c r="R31" s="245" t="s">
        <v>621</v>
      </c>
      <c r="S31" s="245" t="s">
        <v>621</v>
      </c>
      <c r="T31" s="245" t="s">
        <v>621</v>
      </c>
      <c r="U31" s="245" t="s">
        <v>621</v>
      </c>
      <c r="V31" s="245">
        <f>'7'!BL34</f>
        <v>0</v>
      </c>
      <c r="W31" s="245" t="s">
        <v>621</v>
      </c>
      <c r="X31" s="245" t="s">
        <v>621</v>
      </c>
      <c r="Y31" s="245" t="s">
        <v>621</v>
      </c>
      <c r="Z31" s="245" t="s">
        <v>621</v>
      </c>
      <c r="AA31" s="245">
        <f>'7'!BZ34</f>
        <v>0</v>
      </c>
      <c r="AB31" s="245" t="s">
        <v>621</v>
      </c>
      <c r="AC31" s="245" t="s">
        <v>621</v>
      </c>
      <c r="AD31" s="245" t="s">
        <v>621</v>
      </c>
      <c r="AE31" s="245" t="s">
        <v>621</v>
      </c>
      <c r="AF31" s="245">
        <f>'7'!CN34</f>
        <v>0.59499999999999997</v>
      </c>
      <c r="AG31" s="245" t="s">
        <v>621</v>
      </c>
      <c r="AH31" s="245" t="s">
        <v>621</v>
      </c>
      <c r="AI31" s="245" t="s">
        <v>621</v>
      </c>
      <c r="AJ31" s="245" t="s">
        <v>621</v>
      </c>
      <c r="AK31" s="256">
        <f>AF31</f>
        <v>0.59499999999999997</v>
      </c>
      <c r="AL31" s="245" t="s">
        <v>621</v>
      </c>
      <c r="AM31" s="241" t="s">
        <v>621</v>
      </c>
      <c r="AN31" s="913"/>
    </row>
    <row r="32" spans="1:40" s="340" customFormat="1" ht="40.5" x14ac:dyDescent="0.25">
      <c r="A32" s="153" t="s">
        <v>884</v>
      </c>
      <c r="B32" s="154" t="s">
        <v>901</v>
      </c>
      <c r="C32" s="911" t="s">
        <v>1055</v>
      </c>
      <c r="D32" s="911" t="s">
        <v>621</v>
      </c>
      <c r="E32" s="245" t="s">
        <v>621</v>
      </c>
      <c r="F32" s="245" t="s">
        <v>621</v>
      </c>
      <c r="G32" s="245" t="s">
        <v>621</v>
      </c>
      <c r="H32" s="245" t="s">
        <v>621</v>
      </c>
      <c r="I32" s="245" t="s">
        <v>621</v>
      </c>
      <c r="J32" s="245" t="s">
        <v>621</v>
      </c>
      <c r="K32" s="245" t="s">
        <v>621</v>
      </c>
      <c r="L32" s="256">
        <f>'7'!AJ35</f>
        <v>0</v>
      </c>
      <c r="M32" s="245" t="s">
        <v>621</v>
      </c>
      <c r="N32" s="245" t="s">
        <v>621</v>
      </c>
      <c r="O32" s="245" t="s">
        <v>621</v>
      </c>
      <c r="P32" s="245" t="s">
        <v>621</v>
      </c>
      <c r="Q32" s="245">
        <f>'6'!AK36</f>
        <v>0</v>
      </c>
      <c r="R32" s="245" t="s">
        <v>621</v>
      </c>
      <c r="S32" s="245" t="s">
        <v>621</v>
      </c>
      <c r="T32" s="245" t="s">
        <v>621</v>
      </c>
      <c r="U32" s="245" t="s">
        <v>621</v>
      </c>
      <c r="V32" s="245">
        <f>'7'!BL35</f>
        <v>0</v>
      </c>
      <c r="W32" s="245" t="s">
        <v>621</v>
      </c>
      <c r="X32" s="245" t="s">
        <v>621</v>
      </c>
      <c r="Y32" s="245" t="s">
        <v>621</v>
      </c>
      <c r="Z32" s="245" t="s">
        <v>621</v>
      </c>
      <c r="AA32" s="245">
        <f>'7'!BZ35</f>
        <v>0</v>
      </c>
      <c r="AB32" s="245" t="s">
        <v>621</v>
      </c>
      <c r="AC32" s="245" t="s">
        <v>621</v>
      </c>
      <c r="AD32" s="245" t="s">
        <v>621</v>
      </c>
      <c r="AE32" s="245" t="s">
        <v>621</v>
      </c>
      <c r="AF32" s="245">
        <f>'7'!CN35</f>
        <v>1.006</v>
      </c>
      <c r="AG32" s="245" t="s">
        <v>621</v>
      </c>
      <c r="AH32" s="245" t="s">
        <v>621</v>
      </c>
      <c r="AI32" s="245" t="s">
        <v>621</v>
      </c>
      <c r="AJ32" s="245" t="s">
        <v>621</v>
      </c>
      <c r="AK32" s="256">
        <f>AF32</f>
        <v>1.006</v>
      </c>
      <c r="AL32" s="245" t="s">
        <v>621</v>
      </c>
      <c r="AM32" s="241" t="s">
        <v>621</v>
      </c>
      <c r="AN32" s="913"/>
    </row>
    <row r="33" spans="1:40" s="913" customFormat="1" ht="60.75" x14ac:dyDescent="0.25">
      <c r="A33" s="153" t="s">
        <v>1659</v>
      </c>
      <c r="B33" s="154" t="s">
        <v>1671</v>
      </c>
      <c r="C33" s="911" t="s">
        <v>1683</v>
      </c>
      <c r="D33" s="911" t="s">
        <v>621</v>
      </c>
      <c r="E33" s="245" t="s">
        <v>621</v>
      </c>
      <c r="F33" s="245" t="s">
        <v>621</v>
      </c>
      <c r="G33" s="245" t="s">
        <v>621</v>
      </c>
      <c r="H33" s="245" t="s">
        <v>621</v>
      </c>
      <c r="I33" s="245" t="s">
        <v>621</v>
      </c>
      <c r="J33" s="245" t="s">
        <v>621</v>
      </c>
      <c r="K33" s="245" t="s">
        <v>621</v>
      </c>
      <c r="L33" s="256" t="str">
        <f>'7'!AJ49</f>
        <v>нд</v>
      </c>
      <c r="M33" s="245" t="s">
        <v>621</v>
      </c>
      <c r="N33" s="245" t="s">
        <v>621</v>
      </c>
      <c r="O33" s="245" t="s">
        <v>621</v>
      </c>
      <c r="P33" s="245" t="s">
        <v>621</v>
      </c>
      <c r="Q33" s="245">
        <f>'6'!AK37</f>
        <v>2.3039999999999998</v>
      </c>
      <c r="R33" s="245" t="s">
        <v>621</v>
      </c>
      <c r="S33" s="245" t="s">
        <v>621</v>
      </c>
      <c r="T33" s="245" t="s">
        <v>621</v>
      </c>
      <c r="U33" s="245" t="s">
        <v>621</v>
      </c>
      <c r="V33" s="245">
        <v>0</v>
      </c>
      <c r="W33" s="245" t="s">
        <v>621</v>
      </c>
      <c r="X33" s="245" t="s">
        <v>621</v>
      </c>
      <c r="Y33" s="245" t="s">
        <v>621</v>
      </c>
      <c r="Z33" s="245" t="s">
        <v>621</v>
      </c>
      <c r="AA33" s="245" t="str">
        <f>'7'!BZ49</f>
        <v>нд</v>
      </c>
      <c r="AB33" s="245" t="s">
        <v>621</v>
      </c>
      <c r="AC33" s="245" t="s">
        <v>621</v>
      </c>
      <c r="AD33" s="245" t="s">
        <v>621</v>
      </c>
      <c r="AE33" s="245" t="s">
        <v>621</v>
      </c>
      <c r="AF33" s="245" t="str">
        <f>'7'!CN49</f>
        <v>нд</v>
      </c>
      <c r="AG33" s="245" t="s">
        <v>621</v>
      </c>
      <c r="AH33" s="245" t="s">
        <v>621</v>
      </c>
      <c r="AI33" s="245" t="s">
        <v>621</v>
      </c>
      <c r="AJ33" s="245" t="s">
        <v>621</v>
      </c>
      <c r="AK33" s="256">
        <f t="shared" si="0"/>
        <v>2.3039999999999998</v>
      </c>
      <c r="AL33" s="245" t="s">
        <v>621</v>
      </c>
      <c r="AM33" s="241" t="s">
        <v>621</v>
      </c>
    </row>
    <row r="34" spans="1:40" s="913" customFormat="1" ht="40.5" x14ac:dyDescent="0.25">
      <c r="A34" s="153" t="s">
        <v>1660</v>
      </c>
      <c r="B34" s="154" t="s">
        <v>1672</v>
      </c>
      <c r="C34" s="911" t="s">
        <v>1684</v>
      </c>
      <c r="D34" s="911" t="s">
        <v>621</v>
      </c>
      <c r="E34" s="245" t="s">
        <v>621</v>
      </c>
      <c r="F34" s="245" t="s">
        <v>621</v>
      </c>
      <c r="G34" s="245" t="s">
        <v>621</v>
      </c>
      <c r="H34" s="245" t="s">
        <v>621</v>
      </c>
      <c r="I34" s="245" t="s">
        <v>621</v>
      </c>
      <c r="J34" s="245" t="s">
        <v>621</v>
      </c>
      <c r="K34" s="245" t="s">
        <v>621</v>
      </c>
      <c r="L34" s="256" t="str">
        <f>'7'!AJ50</f>
        <v>нд</v>
      </c>
      <c r="M34" s="245" t="s">
        <v>621</v>
      </c>
      <c r="N34" s="245" t="s">
        <v>621</v>
      </c>
      <c r="O34" s="245" t="s">
        <v>621</v>
      </c>
      <c r="P34" s="245" t="s">
        <v>621</v>
      </c>
      <c r="Q34" s="245">
        <f>'6'!AK38</f>
        <v>0.95899999999999996</v>
      </c>
      <c r="R34" s="245" t="s">
        <v>621</v>
      </c>
      <c r="S34" s="245" t="s">
        <v>621</v>
      </c>
      <c r="T34" s="245" t="s">
        <v>621</v>
      </c>
      <c r="U34" s="245" t="s">
        <v>621</v>
      </c>
      <c r="V34" s="245">
        <v>0</v>
      </c>
      <c r="W34" s="245" t="s">
        <v>621</v>
      </c>
      <c r="X34" s="245" t="s">
        <v>621</v>
      </c>
      <c r="Y34" s="245" t="s">
        <v>621</v>
      </c>
      <c r="Z34" s="245" t="s">
        <v>621</v>
      </c>
      <c r="AA34" s="245" t="str">
        <f>'7'!BZ50</f>
        <v>нд</v>
      </c>
      <c r="AB34" s="245" t="s">
        <v>621</v>
      </c>
      <c r="AC34" s="245" t="s">
        <v>621</v>
      </c>
      <c r="AD34" s="245" t="s">
        <v>621</v>
      </c>
      <c r="AE34" s="245" t="s">
        <v>621</v>
      </c>
      <c r="AF34" s="245" t="str">
        <f>'7'!CN50</f>
        <v>нд</v>
      </c>
      <c r="AG34" s="245" t="s">
        <v>621</v>
      </c>
      <c r="AH34" s="245" t="s">
        <v>621</v>
      </c>
      <c r="AI34" s="245" t="s">
        <v>621</v>
      </c>
      <c r="AJ34" s="245" t="s">
        <v>621</v>
      </c>
      <c r="AK34" s="256">
        <f t="shared" si="0"/>
        <v>0.95899999999999996</v>
      </c>
      <c r="AL34" s="245" t="s">
        <v>621</v>
      </c>
      <c r="AM34" s="241" t="s">
        <v>621</v>
      </c>
    </row>
    <row r="35" spans="1:40" s="913" customFormat="1" ht="60.75" x14ac:dyDescent="0.25">
      <c r="A35" s="153" t="s">
        <v>1661</v>
      </c>
      <c r="B35" s="154" t="s">
        <v>1673</v>
      </c>
      <c r="C35" s="911" t="s">
        <v>1685</v>
      </c>
      <c r="D35" s="911" t="s">
        <v>621</v>
      </c>
      <c r="E35" s="245" t="s">
        <v>621</v>
      </c>
      <c r="F35" s="245" t="s">
        <v>621</v>
      </c>
      <c r="G35" s="245" t="s">
        <v>621</v>
      </c>
      <c r="H35" s="245" t="s">
        <v>621</v>
      </c>
      <c r="I35" s="245" t="s">
        <v>621</v>
      </c>
      <c r="J35" s="245" t="s">
        <v>621</v>
      </c>
      <c r="K35" s="245" t="s">
        <v>621</v>
      </c>
      <c r="L35" s="256" t="str">
        <f>'7'!AJ51</f>
        <v>нд</v>
      </c>
      <c r="M35" s="245" t="s">
        <v>621</v>
      </c>
      <c r="N35" s="245" t="s">
        <v>621</v>
      </c>
      <c r="O35" s="245" t="s">
        <v>621</v>
      </c>
      <c r="P35" s="245" t="s">
        <v>621</v>
      </c>
      <c r="Q35" s="245">
        <f>'6'!AK39</f>
        <v>0.58199999999999996</v>
      </c>
      <c r="R35" s="245" t="s">
        <v>621</v>
      </c>
      <c r="S35" s="245" t="s">
        <v>621</v>
      </c>
      <c r="T35" s="245" t="s">
        <v>621</v>
      </c>
      <c r="U35" s="245" t="s">
        <v>621</v>
      </c>
      <c r="V35" s="245">
        <v>0</v>
      </c>
      <c r="W35" s="245" t="s">
        <v>621</v>
      </c>
      <c r="X35" s="245" t="s">
        <v>621</v>
      </c>
      <c r="Y35" s="245" t="s">
        <v>621</v>
      </c>
      <c r="Z35" s="245" t="s">
        <v>621</v>
      </c>
      <c r="AA35" s="245" t="str">
        <f>'7'!BZ51</f>
        <v>нд</v>
      </c>
      <c r="AB35" s="245" t="s">
        <v>621</v>
      </c>
      <c r="AC35" s="245" t="s">
        <v>621</v>
      </c>
      <c r="AD35" s="245" t="s">
        <v>621</v>
      </c>
      <c r="AE35" s="245" t="s">
        <v>621</v>
      </c>
      <c r="AF35" s="245" t="str">
        <f>'7'!CN51</f>
        <v>нд</v>
      </c>
      <c r="AG35" s="245" t="s">
        <v>621</v>
      </c>
      <c r="AH35" s="245" t="s">
        <v>621</v>
      </c>
      <c r="AI35" s="245" t="s">
        <v>621</v>
      </c>
      <c r="AJ35" s="245" t="s">
        <v>621</v>
      </c>
      <c r="AK35" s="256">
        <f t="shared" si="0"/>
        <v>0.58199999999999996</v>
      </c>
      <c r="AL35" s="245" t="s">
        <v>621</v>
      </c>
      <c r="AM35" s="241" t="s">
        <v>621</v>
      </c>
    </row>
    <row r="36" spans="1:40" s="913" customFormat="1" ht="60.75" x14ac:dyDescent="0.25">
      <c r="A36" s="153" t="s">
        <v>1662</v>
      </c>
      <c r="B36" s="154" t="s">
        <v>1674</v>
      </c>
      <c r="C36" s="911" t="s">
        <v>1686</v>
      </c>
      <c r="D36" s="911" t="s">
        <v>621</v>
      </c>
      <c r="E36" s="245" t="s">
        <v>621</v>
      </c>
      <c r="F36" s="245" t="s">
        <v>621</v>
      </c>
      <c r="G36" s="245" t="s">
        <v>621</v>
      </c>
      <c r="H36" s="245" t="s">
        <v>621</v>
      </c>
      <c r="I36" s="245" t="s">
        <v>621</v>
      </c>
      <c r="J36" s="245" t="s">
        <v>621</v>
      </c>
      <c r="K36" s="245" t="s">
        <v>621</v>
      </c>
      <c r="L36" s="256" t="str">
        <f>'7'!AJ52</f>
        <v>нд</v>
      </c>
      <c r="M36" s="245" t="s">
        <v>621</v>
      </c>
      <c r="N36" s="245" t="s">
        <v>621</v>
      </c>
      <c r="O36" s="245" t="s">
        <v>621</v>
      </c>
      <c r="P36" s="245" t="s">
        <v>621</v>
      </c>
      <c r="Q36" s="245">
        <f>'6'!AK40</f>
        <v>0.46500000000000002</v>
      </c>
      <c r="R36" s="245" t="s">
        <v>621</v>
      </c>
      <c r="S36" s="245" t="s">
        <v>621</v>
      </c>
      <c r="T36" s="245" t="s">
        <v>621</v>
      </c>
      <c r="U36" s="245" t="s">
        <v>621</v>
      </c>
      <c r="V36" s="245">
        <v>0</v>
      </c>
      <c r="W36" s="245" t="s">
        <v>621</v>
      </c>
      <c r="X36" s="245" t="s">
        <v>621</v>
      </c>
      <c r="Y36" s="245" t="s">
        <v>621</v>
      </c>
      <c r="Z36" s="245" t="s">
        <v>621</v>
      </c>
      <c r="AA36" s="245" t="str">
        <f>'7'!BZ52</f>
        <v>нд</v>
      </c>
      <c r="AB36" s="245" t="s">
        <v>621</v>
      </c>
      <c r="AC36" s="245" t="s">
        <v>621</v>
      </c>
      <c r="AD36" s="245" t="s">
        <v>621</v>
      </c>
      <c r="AE36" s="245" t="s">
        <v>621</v>
      </c>
      <c r="AF36" s="245" t="str">
        <f>'7'!CN52</f>
        <v>нд</v>
      </c>
      <c r="AG36" s="245" t="s">
        <v>621</v>
      </c>
      <c r="AH36" s="245" t="s">
        <v>621</v>
      </c>
      <c r="AI36" s="245" t="s">
        <v>621</v>
      </c>
      <c r="AJ36" s="245" t="s">
        <v>621</v>
      </c>
      <c r="AK36" s="256">
        <f t="shared" si="0"/>
        <v>0.46500000000000002</v>
      </c>
      <c r="AL36" s="245" t="s">
        <v>621</v>
      </c>
      <c r="AM36" s="241" t="s">
        <v>621</v>
      </c>
    </row>
    <row r="37" spans="1:40" s="913" customFormat="1" ht="40.5" x14ac:dyDescent="0.25">
      <c r="A37" s="153" t="s">
        <v>1663</v>
      </c>
      <c r="B37" s="154" t="s">
        <v>1675</v>
      </c>
      <c r="C37" s="911" t="s">
        <v>1687</v>
      </c>
      <c r="D37" s="911" t="s">
        <v>621</v>
      </c>
      <c r="E37" s="245" t="s">
        <v>621</v>
      </c>
      <c r="F37" s="245" t="s">
        <v>621</v>
      </c>
      <c r="G37" s="245" t="s">
        <v>621</v>
      </c>
      <c r="H37" s="245" t="s">
        <v>621</v>
      </c>
      <c r="I37" s="245" t="s">
        <v>621</v>
      </c>
      <c r="J37" s="245" t="s">
        <v>621</v>
      </c>
      <c r="K37" s="245" t="s">
        <v>621</v>
      </c>
      <c r="L37" s="256" t="str">
        <f>'7'!AJ53</f>
        <v>нд</v>
      </c>
      <c r="M37" s="245" t="s">
        <v>621</v>
      </c>
      <c r="N37" s="245" t="s">
        <v>621</v>
      </c>
      <c r="O37" s="245" t="s">
        <v>621</v>
      </c>
      <c r="P37" s="245" t="s">
        <v>621</v>
      </c>
      <c r="Q37" s="245">
        <f>'6'!AK41</f>
        <v>0.33800000000000002</v>
      </c>
      <c r="R37" s="245" t="s">
        <v>621</v>
      </c>
      <c r="S37" s="245" t="s">
        <v>621</v>
      </c>
      <c r="T37" s="245" t="s">
        <v>621</v>
      </c>
      <c r="U37" s="245" t="s">
        <v>621</v>
      </c>
      <c r="V37" s="245">
        <v>0</v>
      </c>
      <c r="W37" s="245" t="s">
        <v>621</v>
      </c>
      <c r="X37" s="245" t="s">
        <v>621</v>
      </c>
      <c r="Y37" s="245" t="s">
        <v>621</v>
      </c>
      <c r="Z37" s="245" t="s">
        <v>621</v>
      </c>
      <c r="AA37" s="245" t="str">
        <f>'7'!BZ53</f>
        <v>нд</v>
      </c>
      <c r="AB37" s="245" t="s">
        <v>621</v>
      </c>
      <c r="AC37" s="245" t="s">
        <v>621</v>
      </c>
      <c r="AD37" s="245" t="s">
        <v>621</v>
      </c>
      <c r="AE37" s="245" t="s">
        <v>621</v>
      </c>
      <c r="AF37" s="245" t="str">
        <f>'7'!CN53</f>
        <v>нд</v>
      </c>
      <c r="AG37" s="245" t="s">
        <v>621</v>
      </c>
      <c r="AH37" s="245" t="s">
        <v>621</v>
      </c>
      <c r="AI37" s="245" t="s">
        <v>621</v>
      </c>
      <c r="AJ37" s="245" t="s">
        <v>621</v>
      </c>
      <c r="AK37" s="256">
        <f t="shared" si="0"/>
        <v>0.33800000000000002</v>
      </c>
      <c r="AL37" s="245" t="s">
        <v>621</v>
      </c>
      <c r="AM37" s="241" t="s">
        <v>621</v>
      </c>
    </row>
    <row r="38" spans="1:40" s="913" customFormat="1" ht="40.5" x14ac:dyDescent="0.25">
      <c r="A38" s="153" t="s">
        <v>1664</v>
      </c>
      <c r="B38" s="154" t="s">
        <v>1676</v>
      </c>
      <c r="C38" s="911" t="s">
        <v>1688</v>
      </c>
      <c r="D38" s="911" t="s">
        <v>621</v>
      </c>
      <c r="E38" s="245" t="s">
        <v>621</v>
      </c>
      <c r="F38" s="245" t="s">
        <v>621</v>
      </c>
      <c r="G38" s="245" t="s">
        <v>621</v>
      </c>
      <c r="H38" s="245" t="s">
        <v>621</v>
      </c>
      <c r="I38" s="245" t="s">
        <v>621</v>
      </c>
      <c r="J38" s="245" t="s">
        <v>621</v>
      </c>
      <c r="K38" s="245" t="s">
        <v>621</v>
      </c>
      <c r="L38" s="256" t="str">
        <f>'7'!AJ54</f>
        <v>нд</v>
      </c>
      <c r="M38" s="245" t="s">
        <v>621</v>
      </c>
      <c r="N38" s="245" t="s">
        <v>621</v>
      </c>
      <c r="O38" s="245" t="s">
        <v>621</v>
      </c>
      <c r="P38" s="245" t="s">
        <v>621</v>
      </c>
      <c r="Q38" s="245">
        <f>'6'!AK42</f>
        <v>0.379</v>
      </c>
      <c r="R38" s="245" t="s">
        <v>621</v>
      </c>
      <c r="S38" s="245" t="s">
        <v>621</v>
      </c>
      <c r="T38" s="245" t="s">
        <v>621</v>
      </c>
      <c r="U38" s="245" t="s">
        <v>621</v>
      </c>
      <c r="V38" s="245">
        <v>0</v>
      </c>
      <c r="W38" s="245" t="s">
        <v>621</v>
      </c>
      <c r="X38" s="245" t="s">
        <v>621</v>
      </c>
      <c r="Y38" s="245" t="s">
        <v>621</v>
      </c>
      <c r="Z38" s="245" t="s">
        <v>621</v>
      </c>
      <c r="AA38" s="245" t="str">
        <f>'7'!BZ54</f>
        <v>нд</v>
      </c>
      <c r="AB38" s="245" t="s">
        <v>621</v>
      </c>
      <c r="AC38" s="245" t="s">
        <v>621</v>
      </c>
      <c r="AD38" s="245" t="s">
        <v>621</v>
      </c>
      <c r="AE38" s="245" t="s">
        <v>621</v>
      </c>
      <c r="AF38" s="245" t="str">
        <f>'7'!CN54</f>
        <v>нд</v>
      </c>
      <c r="AG38" s="245" t="s">
        <v>621</v>
      </c>
      <c r="AH38" s="245" t="s">
        <v>621</v>
      </c>
      <c r="AI38" s="245" t="s">
        <v>621</v>
      </c>
      <c r="AJ38" s="245" t="s">
        <v>621</v>
      </c>
      <c r="AK38" s="256">
        <f t="shared" si="0"/>
        <v>0.379</v>
      </c>
      <c r="AL38" s="245" t="s">
        <v>621</v>
      </c>
      <c r="AM38" s="241" t="s">
        <v>621</v>
      </c>
    </row>
    <row r="39" spans="1:40" s="913" customFormat="1" ht="40.5" x14ac:dyDescent="0.25">
      <c r="A39" s="153" t="s">
        <v>1665</v>
      </c>
      <c r="B39" s="154" t="s">
        <v>1677</v>
      </c>
      <c r="C39" s="911" t="s">
        <v>1689</v>
      </c>
      <c r="D39" s="911" t="s">
        <v>621</v>
      </c>
      <c r="E39" s="245" t="s">
        <v>621</v>
      </c>
      <c r="F39" s="245" t="s">
        <v>621</v>
      </c>
      <c r="G39" s="245" t="s">
        <v>621</v>
      </c>
      <c r="H39" s="245" t="s">
        <v>621</v>
      </c>
      <c r="I39" s="245" t="s">
        <v>621</v>
      </c>
      <c r="J39" s="245" t="s">
        <v>621</v>
      </c>
      <c r="K39" s="245" t="s">
        <v>621</v>
      </c>
      <c r="L39" s="256" t="str">
        <f>'7'!AJ55</f>
        <v>нд</v>
      </c>
      <c r="M39" s="245" t="s">
        <v>621</v>
      </c>
      <c r="N39" s="245" t="s">
        <v>621</v>
      </c>
      <c r="O39" s="245" t="s">
        <v>621</v>
      </c>
      <c r="P39" s="245" t="s">
        <v>621</v>
      </c>
      <c r="Q39" s="245">
        <f>'6'!AK43</f>
        <v>0.15740000000000001</v>
      </c>
      <c r="R39" s="245" t="s">
        <v>621</v>
      </c>
      <c r="S39" s="245" t="s">
        <v>621</v>
      </c>
      <c r="T39" s="245" t="s">
        <v>621</v>
      </c>
      <c r="U39" s="245" t="s">
        <v>621</v>
      </c>
      <c r="V39" s="245">
        <v>0</v>
      </c>
      <c r="W39" s="245" t="s">
        <v>621</v>
      </c>
      <c r="X39" s="245" t="s">
        <v>621</v>
      </c>
      <c r="Y39" s="245" t="s">
        <v>621</v>
      </c>
      <c r="Z39" s="245" t="s">
        <v>621</v>
      </c>
      <c r="AA39" s="245" t="str">
        <f>'7'!BZ55</f>
        <v>нд</v>
      </c>
      <c r="AB39" s="245" t="s">
        <v>621</v>
      </c>
      <c r="AC39" s="245" t="s">
        <v>621</v>
      </c>
      <c r="AD39" s="245" t="s">
        <v>621</v>
      </c>
      <c r="AE39" s="245" t="s">
        <v>621</v>
      </c>
      <c r="AF39" s="245" t="str">
        <f>'7'!CN55</f>
        <v>нд</v>
      </c>
      <c r="AG39" s="245" t="s">
        <v>621</v>
      </c>
      <c r="AH39" s="245" t="s">
        <v>621</v>
      </c>
      <c r="AI39" s="245" t="s">
        <v>621</v>
      </c>
      <c r="AJ39" s="245" t="s">
        <v>621</v>
      </c>
      <c r="AK39" s="256">
        <f t="shared" si="0"/>
        <v>0.157</v>
      </c>
      <c r="AL39" s="245" t="s">
        <v>621</v>
      </c>
      <c r="AM39" s="241" t="s">
        <v>621</v>
      </c>
    </row>
    <row r="40" spans="1:40" s="913" customFormat="1" ht="40.5" x14ac:dyDescent="0.25">
      <c r="A40" s="153" t="s">
        <v>1666</v>
      </c>
      <c r="B40" s="154" t="s">
        <v>1678</v>
      </c>
      <c r="C40" s="911" t="s">
        <v>1690</v>
      </c>
      <c r="D40" s="911" t="s">
        <v>621</v>
      </c>
      <c r="E40" s="245" t="s">
        <v>621</v>
      </c>
      <c r="F40" s="245" t="s">
        <v>621</v>
      </c>
      <c r="G40" s="245" t="s">
        <v>621</v>
      </c>
      <c r="H40" s="245" t="s">
        <v>621</v>
      </c>
      <c r="I40" s="245" t="s">
        <v>621</v>
      </c>
      <c r="J40" s="245" t="s">
        <v>621</v>
      </c>
      <c r="K40" s="245" t="s">
        <v>621</v>
      </c>
      <c r="L40" s="256" t="str">
        <f>'7'!AJ56</f>
        <v>нд</v>
      </c>
      <c r="M40" s="245" t="s">
        <v>621</v>
      </c>
      <c r="N40" s="245" t="s">
        <v>621</v>
      </c>
      <c r="O40" s="245" t="s">
        <v>621</v>
      </c>
      <c r="P40" s="245" t="s">
        <v>621</v>
      </c>
      <c r="Q40" s="245">
        <f>'6'!AK44</f>
        <v>0.37</v>
      </c>
      <c r="R40" s="245" t="s">
        <v>621</v>
      </c>
      <c r="S40" s="245" t="s">
        <v>621</v>
      </c>
      <c r="T40" s="245" t="s">
        <v>621</v>
      </c>
      <c r="U40" s="245" t="s">
        <v>621</v>
      </c>
      <c r="V40" s="245">
        <v>0</v>
      </c>
      <c r="W40" s="245" t="s">
        <v>621</v>
      </c>
      <c r="X40" s="245" t="s">
        <v>621</v>
      </c>
      <c r="Y40" s="245" t="s">
        <v>621</v>
      </c>
      <c r="Z40" s="245" t="s">
        <v>621</v>
      </c>
      <c r="AA40" s="245" t="str">
        <f>'7'!BZ56</f>
        <v>нд</v>
      </c>
      <c r="AB40" s="245" t="s">
        <v>621</v>
      </c>
      <c r="AC40" s="245" t="s">
        <v>621</v>
      </c>
      <c r="AD40" s="245" t="s">
        <v>621</v>
      </c>
      <c r="AE40" s="245" t="s">
        <v>621</v>
      </c>
      <c r="AF40" s="245" t="str">
        <f>'7'!CN56</f>
        <v>нд</v>
      </c>
      <c r="AG40" s="245" t="s">
        <v>621</v>
      </c>
      <c r="AH40" s="245" t="s">
        <v>621</v>
      </c>
      <c r="AI40" s="245" t="s">
        <v>621</v>
      </c>
      <c r="AJ40" s="245" t="s">
        <v>621</v>
      </c>
      <c r="AK40" s="256">
        <f t="shared" si="0"/>
        <v>0.37</v>
      </c>
      <c r="AL40" s="245" t="s">
        <v>621</v>
      </c>
      <c r="AM40" s="241" t="s">
        <v>621</v>
      </c>
    </row>
    <row r="41" spans="1:40" s="913" customFormat="1" ht="40.5" x14ac:dyDescent="0.25">
      <c r="A41" s="153" t="s">
        <v>1667</v>
      </c>
      <c r="B41" s="154" t="s">
        <v>1679</v>
      </c>
      <c r="C41" s="911" t="s">
        <v>1691</v>
      </c>
      <c r="D41" s="911" t="s">
        <v>621</v>
      </c>
      <c r="E41" s="245" t="s">
        <v>621</v>
      </c>
      <c r="F41" s="245" t="s">
        <v>621</v>
      </c>
      <c r="G41" s="245" t="s">
        <v>621</v>
      </c>
      <c r="H41" s="245" t="s">
        <v>621</v>
      </c>
      <c r="I41" s="245" t="s">
        <v>621</v>
      </c>
      <c r="J41" s="245" t="s">
        <v>621</v>
      </c>
      <c r="K41" s="245" t="s">
        <v>621</v>
      </c>
      <c r="L41" s="256" t="str">
        <f>'7'!AJ57</f>
        <v>нд</v>
      </c>
      <c r="M41" s="245" t="s">
        <v>621</v>
      </c>
      <c r="N41" s="245" t="s">
        <v>621</v>
      </c>
      <c r="O41" s="245" t="s">
        <v>621</v>
      </c>
      <c r="P41" s="245" t="s">
        <v>621</v>
      </c>
      <c r="Q41" s="245">
        <f>'6'!AK45</f>
        <v>0.45400000000000001</v>
      </c>
      <c r="R41" s="245" t="s">
        <v>621</v>
      </c>
      <c r="S41" s="245" t="s">
        <v>621</v>
      </c>
      <c r="T41" s="245" t="s">
        <v>621</v>
      </c>
      <c r="U41" s="245" t="s">
        <v>621</v>
      </c>
      <c r="V41" s="245">
        <v>0</v>
      </c>
      <c r="W41" s="245" t="s">
        <v>621</v>
      </c>
      <c r="X41" s="245" t="s">
        <v>621</v>
      </c>
      <c r="Y41" s="245" t="s">
        <v>621</v>
      </c>
      <c r="Z41" s="245" t="s">
        <v>621</v>
      </c>
      <c r="AA41" s="245" t="str">
        <f>'7'!BZ57</f>
        <v>нд</v>
      </c>
      <c r="AB41" s="245" t="s">
        <v>621</v>
      </c>
      <c r="AC41" s="245" t="s">
        <v>621</v>
      </c>
      <c r="AD41" s="245" t="s">
        <v>621</v>
      </c>
      <c r="AE41" s="245" t="s">
        <v>621</v>
      </c>
      <c r="AF41" s="245" t="str">
        <f>'7'!CN57</f>
        <v>нд</v>
      </c>
      <c r="AG41" s="245" t="s">
        <v>621</v>
      </c>
      <c r="AH41" s="245" t="s">
        <v>621</v>
      </c>
      <c r="AI41" s="245" t="s">
        <v>621</v>
      </c>
      <c r="AJ41" s="245" t="s">
        <v>621</v>
      </c>
      <c r="AK41" s="256">
        <f t="shared" si="0"/>
        <v>0.45400000000000001</v>
      </c>
      <c r="AL41" s="245" t="s">
        <v>621</v>
      </c>
      <c r="AM41" s="241" t="s">
        <v>621</v>
      </c>
    </row>
    <row r="42" spans="1:40" s="913" customFormat="1" ht="40.5" x14ac:dyDescent="0.25">
      <c r="A42" s="153" t="s">
        <v>1668</v>
      </c>
      <c r="B42" s="154" t="s">
        <v>1680</v>
      </c>
      <c r="C42" s="911" t="s">
        <v>1692</v>
      </c>
      <c r="D42" s="911" t="s">
        <v>621</v>
      </c>
      <c r="E42" s="245" t="s">
        <v>621</v>
      </c>
      <c r="F42" s="245" t="s">
        <v>621</v>
      </c>
      <c r="G42" s="245" t="s">
        <v>621</v>
      </c>
      <c r="H42" s="245" t="s">
        <v>621</v>
      </c>
      <c r="I42" s="245" t="s">
        <v>621</v>
      </c>
      <c r="J42" s="245" t="s">
        <v>621</v>
      </c>
      <c r="K42" s="245" t="s">
        <v>621</v>
      </c>
      <c r="L42" s="256" t="str">
        <f>'7'!AJ58</f>
        <v>нд</v>
      </c>
      <c r="M42" s="245" t="s">
        <v>621</v>
      </c>
      <c r="N42" s="245" t="s">
        <v>621</v>
      </c>
      <c r="O42" s="245" t="s">
        <v>621</v>
      </c>
      <c r="P42" s="245" t="s">
        <v>621</v>
      </c>
      <c r="Q42" s="245">
        <f>'6'!AK46</f>
        <v>0.36899999999999999</v>
      </c>
      <c r="R42" s="245" t="s">
        <v>621</v>
      </c>
      <c r="S42" s="245" t="s">
        <v>621</v>
      </c>
      <c r="T42" s="245" t="s">
        <v>621</v>
      </c>
      <c r="U42" s="245" t="s">
        <v>621</v>
      </c>
      <c r="V42" s="245">
        <v>0</v>
      </c>
      <c r="W42" s="245" t="s">
        <v>621</v>
      </c>
      <c r="X42" s="245" t="s">
        <v>621</v>
      </c>
      <c r="Y42" s="245" t="s">
        <v>621</v>
      </c>
      <c r="Z42" s="245" t="s">
        <v>621</v>
      </c>
      <c r="AA42" s="245" t="str">
        <f>'7'!BZ58</f>
        <v>нд</v>
      </c>
      <c r="AB42" s="245" t="s">
        <v>621</v>
      </c>
      <c r="AC42" s="245" t="s">
        <v>621</v>
      </c>
      <c r="AD42" s="245" t="s">
        <v>621</v>
      </c>
      <c r="AE42" s="245" t="s">
        <v>621</v>
      </c>
      <c r="AF42" s="245" t="str">
        <f>'7'!CN58</f>
        <v>нд</v>
      </c>
      <c r="AG42" s="245" t="s">
        <v>621</v>
      </c>
      <c r="AH42" s="245" t="s">
        <v>621</v>
      </c>
      <c r="AI42" s="245" t="s">
        <v>621</v>
      </c>
      <c r="AJ42" s="245" t="s">
        <v>621</v>
      </c>
      <c r="AK42" s="256">
        <f t="shared" si="0"/>
        <v>0.36899999999999999</v>
      </c>
      <c r="AL42" s="245" t="s">
        <v>621</v>
      </c>
      <c r="AM42" s="241" t="s">
        <v>621</v>
      </c>
    </row>
    <row r="43" spans="1:40" s="913" customFormat="1" ht="40.5" x14ac:dyDescent="0.25">
      <c r="A43" s="153" t="s">
        <v>1669</v>
      </c>
      <c r="B43" s="154" t="s">
        <v>1681</v>
      </c>
      <c r="C43" s="911" t="s">
        <v>1693</v>
      </c>
      <c r="D43" s="911" t="s">
        <v>621</v>
      </c>
      <c r="E43" s="245" t="s">
        <v>621</v>
      </c>
      <c r="F43" s="245" t="s">
        <v>621</v>
      </c>
      <c r="G43" s="245" t="s">
        <v>621</v>
      </c>
      <c r="H43" s="245" t="s">
        <v>621</v>
      </c>
      <c r="I43" s="245" t="s">
        <v>621</v>
      </c>
      <c r="J43" s="245" t="s">
        <v>621</v>
      </c>
      <c r="K43" s="245" t="s">
        <v>621</v>
      </c>
      <c r="L43" s="256" t="str">
        <f>'7'!AJ59</f>
        <v>нд</v>
      </c>
      <c r="M43" s="245" t="s">
        <v>621</v>
      </c>
      <c r="N43" s="245" t="s">
        <v>621</v>
      </c>
      <c r="O43" s="245" t="s">
        <v>621</v>
      </c>
      <c r="P43" s="245" t="s">
        <v>621</v>
      </c>
      <c r="Q43" s="245">
        <f>'6'!AK47</f>
        <v>1.032</v>
      </c>
      <c r="R43" s="245" t="s">
        <v>621</v>
      </c>
      <c r="S43" s="245" t="s">
        <v>621</v>
      </c>
      <c r="T43" s="245" t="s">
        <v>621</v>
      </c>
      <c r="U43" s="245" t="s">
        <v>621</v>
      </c>
      <c r="V43" s="245">
        <v>0</v>
      </c>
      <c r="W43" s="245" t="s">
        <v>621</v>
      </c>
      <c r="X43" s="245" t="s">
        <v>621</v>
      </c>
      <c r="Y43" s="245" t="s">
        <v>621</v>
      </c>
      <c r="Z43" s="245" t="s">
        <v>621</v>
      </c>
      <c r="AA43" s="245" t="str">
        <f>'7'!BZ59</f>
        <v>нд</v>
      </c>
      <c r="AB43" s="245" t="s">
        <v>621</v>
      </c>
      <c r="AC43" s="245" t="s">
        <v>621</v>
      </c>
      <c r="AD43" s="245" t="s">
        <v>621</v>
      </c>
      <c r="AE43" s="245" t="s">
        <v>621</v>
      </c>
      <c r="AF43" s="245" t="str">
        <f>'7'!CN59</f>
        <v>нд</v>
      </c>
      <c r="AG43" s="245" t="s">
        <v>621</v>
      </c>
      <c r="AH43" s="245" t="s">
        <v>621</v>
      </c>
      <c r="AI43" s="245" t="s">
        <v>621</v>
      </c>
      <c r="AJ43" s="245" t="s">
        <v>621</v>
      </c>
      <c r="AK43" s="256">
        <f t="shared" si="0"/>
        <v>1.032</v>
      </c>
      <c r="AL43" s="245" t="s">
        <v>621</v>
      </c>
      <c r="AM43" s="241" t="s">
        <v>621</v>
      </c>
    </row>
    <row r="44" spans="1:40" s="913" customFormat="1" ht="40.5" x14ac:dyDescent="0.25">
      <c r="A44" s="153" t="s">
        <v>1670</v>
      </c>
      <c r="B44" s="154" t="s">
        <v>1682</v>
      </c>
      <c r="C44" s="911" t="s">
        <v>1694</v>
      </c>
      <c r="D44" s="911" t="s">
        <v>621</v>
      </c>
      <c r="E44" s="245" t="s">
        <v>621</v>
      </c>
      <c r="F44" s="245" t="s">
        <v>621</v>
      </c>
      <c r="G44" s="245" t="s">
        <v>621</v>
      </c>
      <c r="H44" s="245" t="s">
        <v>621</v>
      </c>
      <c r="I44" s="245" t="s">
        <v>621</v>
      </c>
      <c r="J44" s="245" t="s">
        <v>621</v>
      </c>
      <c r="K44" s="245" t="s">
        <v>621</v>
      </c>
      <c r="L44" s="256" t="str">
        <f>'7'!AJ60</f>
        <v>нд</v>
      </c>
      <c r="M44" s="245" t="s">
        <v>621</v>
      </c>
      <c r="N44" s="245" t="s">
        <v>621</v>
      </c>
      <c r="O44" s="245" t="s">
        <v>621</v>
      </c>
      <c r="P44" s="245" t="s">
        <v>621</v>
      </c>
      <c r="Q44" s="245">
        <f>'6'!AK48</f>
        <v>0.41299999999999998</v>
      </c>
      <c r="R44" s="245" t="s">
        <v>621</v>
      </c>
      <c r="S44" s="245" t="s">
        <v>621</v>
      </c>
      <c r="T44" s="245" t="s">
        <v>621</v>
      </c>
      <c r="U44" s="245" t="s">
        <v>621</v>
      </c>
      <c r="V44" s="245">
        <v>0</v>
      </c>
      <c r="W44" s="245" t="s">
        <v>621</v>
      </c>
      <c r="X44" s="245" t="s">
        <v>621</v>
      </c>
      <c r="Y44" s="245" t="s">
        <v>621</v>
      </c>
      <c r="Z44" s="245" t="s">
        <v>621</v>
      </c>
      <c r="AA44" s="245" t="str">
        <f>'7'!BZ60</f>
        <v>нд</v>
      </c>
      <c r="AB44" s="245" t="s">
        <v>621</v>
      </c>
      <c r="AC44" s="245" t="s">
        <v>621</v>
      </c>
      <c r="AD44" s="245" t="s">
        <v>621</v>
      </c>
      <c r="AE44" s="245" t="s">
        <v>621</v>
      </c>
      <c r="AF44" s="245" t="str">
        <f>'7'!CN60</f>
        <v>нд</v>
      </c>
      <c r="AG44" s="245" t="s">
        <v>621</v>
      </c>
      <c r="AH44" s="245" t="s">
        <v>621</v>
      </c>
      <c r="AI44" s="245" t="s">
        <v>621</v>
      </c>
      <c r="AJ44" s="245" t="s">
        <v>621</v>
      </c>
      <c r="AK44" s="256">
        <f t="shared" si="0"/>
        <v>0.41299999999999998</v>
      </c>
      <c r="AL44" s="245" t="s">
        <v>621</v>
      </c>
      <c r="AM44" s="241" t="s">
        <v>621</v>
      </c>
    </row>
    <row r="45" spans="1:40" s="978" customFormat="1" ht="60.75" x14ac:dyDescent="0.25">
      <c r="A45" s="153" t="s">
        <v>1716</v>
      </c>
      <c r="B45" s="154" t="s">
        <v>1715</v>
      </c>
      <c r="C45" s="972" t="str">
        <f>CONCATENATE("J","_",E45,"_",A45)</f>
        <v>J_нд_1.2.2.1.25</v>
      </c>
      <c r="D45" s="972" t="s">
        <v>621</v>
      </c>
      <c r="E45" s="245" t="s">
        <v>621</v>
      </c>
      <c r="F45" s="245" t="s">
        <v>621</v>
      </c>
      <c r="G45" s="245" t="s">
        <v>621</v>
      </c>
      <c r="H45" s="245" t="s">
        <v>621</v>
      </c>
      <c r="I45" s="245" t="s">
        <v>621</v>
      </c>
      <c r="J45" s="245" t="s">
        <v>621</v>
      </c>
      <c r="K45" s="245" t="s">
        <v>621</v>
      </c>
      <c r="L45" s="256" t="str">
        <f>'7'!AJ61</f>
        <v>нд</v>
      </c>
      <c r="M45" s="245" t="s">
        <v>621</v>
      </c>
      <c r="N45" s="245" t="s">
        <v>621</v>
      </c>
      <c r="O45" s="245" t="s">
        <v>621</v>
      </c>
      <c r="P45" s="245" t="s">
        <v>621</v>
      </c>
      <c r="Q45" s="245">
        <v>0</v>
      </c>
      <c r="R45" s="245" t="s">
        <v>621</v>
      </c>
      <c r="S45" s="245" t="s">
        <v>621</v>
      </c>
      <c r="T45" s="245" t="s">
        <v>621</v>
      </c>
      <c r="U45" s="245" t="s">
        <v>621</v>
      </c>
      <c r="V45" s="245">
        <v>6.96</v>
      </c>
      <c r="W45" s="245" t="s">
        <v>621</v>
      </c>
      <c r="X45" s="245" t="s">
        <v>621</v>
      </c>
      <c r="Y45" s="245" t="s">
        <v>621</v>
      </c>
      <c r="Z45" s="245" t="s">
        <v>621</v>
      </c>
      <c r="AA45" s="245" t="s">
        <v>621</v>
      </c>
      <c r="AB45" s="245" t="s">
        <v>621</v>
      </c>
      <c r="AC45" s="245" t="s">
        <v>621</v>
      </c>
      <c r="AD45" s="245" t="s">
        <v>621</v>
      </c>
      <c r="AE45" s="245" t="s">
        <v>621</v>
      </c>
      <c r="AF45" s="245" t="str">
        <f>'7'!CN61</f>
        <v>нд</v>
      </c>
      <c r="AG45" s="245" t="s">
        <v>621</v>
      </c>
      <c r="AH45" s="245" t="s">
        <v>621</v>
      </c>
      <c r="AI45" s="245" t="s">
        <v>621</v>
      </c>
      <c r="AJ45" s="245" t="s">
        <v>621</v>
      </c>
      <c r="AK45" s="256">
        <v>6.96</v>
      </c>
      <c r="AL45" s="245" t="s">
        <v>621</v>
      </c>
      <c r="AM45" s="241" t="s">
        <v>621</v>
      </c>
    </row>
    <row r="46" spans="1:40" s="539" customFormat="1" ht="108" x14ac:dyDescent="0.25">
      <c r="A46" s="1080" t="s">
        <v>546</v>
      </c>
      <c r="B46" s="1083" t="s">
        <v>739</v>
      </c>
      <c r="C46" s="1077" t="s">
        <v>621</v>
      </c>
      <c r="D46" s="1077" t="s">
        <v>621</v>
      </c>
      <c r="E46" s="1077" t="s">
        <v>621</v>
      </c>
      <c r="F46" s="1077" t="s">
        <v>621</v>
      </c>
      <c r="G46" s="1077" t="s">
        <v>621</v>
      </c>
      <c r="H46" s="1077" t="s">
        <v>621</v>
      </c>
      <c r="I46" s="1077" t="s">
        <v>621</v>
      </c>
      <c r="J46" s="1077" t="s">
        <v>621</v>
      </c>
      <c r="K46" s="1077" t="s">
        <v>621</v>
      </c>
      <c r="L46" s="1077" t="s">
        <v>621</v>
      </c>
      <c r="M46" s="1077" t="s">
        <v>621</v>
      </c>
      <c r="N46" s="1077" t="s">
        <v>621</v>
      </c>
      <c r="O46" s="1077" t="s">
        <v>621</v>
      </c>
      <c r="P46" s="1077" t="s">
        <v>621</v>
      </c>
      <c r="Q46" s="1077" t="s">
        <v>621</v>
      </c>
      <c r="R46" s="1077" t="s">
        <v>621</v>
      </c>
      <c r="S46" s="1077">
        <f>S47</f>
        <v>2762</v>
      </c>
      <c r="T46" s="1077" t="s">
        <v>621</v>
      </c>
      <c r="U46" s="1077" t="s">
        <v>621</v>
      </c>
      <c r="V46" s="1077" t="s">
        <v>621</v>
      </c>
      <c r="W46" s="1077" t="s">
        <v>621</v>
      </c>
      <c r="X46" s="1077">
        <f>X47</f>
        <v>2658</v>
      </c>
      <c r="Y46" s="1077" t="s">
        <v>621</v>
      </c>
      <c r="Z46" s="1077" t="s">
        <v>621</v>
      </c>
      <c r="AA46" s="1077" t="s">
        <v>621</v>
      </c>
      <c r="AB46" s="1077" t="s">
        <v>621</v>
      </c>
      <c r="AC46" s="1077">
        <f>AC47</f>
        <v>2941</v>
      </c>
      <c r="AD46" s="1077" t="s">
        <v>621</v>
      </c>
      <c r="AE46" s="1077" t="s">
        <v>621</v>
      </c>
      <c r="AF46" s="1077" t="s">
        <v>621</v>
      </c>
      <c r="AG46" s="1077" t="str">
        <f>AG47</f>
        <v>нд</v>
      </c>
      <c r="AH46" s="1077">
        <f>AH47</f>
        <v>2824</v>
      </c>
      <c r="AI46" s="1077" t="s">
        <v>621</v>
      </c>
      <c r="AJ46" s="1077" t="s">
        <v>621</v>
      </c>
      <c r="AK46" s="1077" t="s">
        <v>621</v>
      </c>
      <c r="AL46" s="1077" t="s">
        <v>621</v>
      </c>
      <c r="AM46" s="1077">
        <f>AH46+AC46+X46+S46</f>
        <v>11185</v>
      </c>
      <c r="AN46" s="993"/>
    </row>
    <row r="47" spans="1:40" s="539" customFormat="1" ht="60.75" x14ac:dyDescent="0.25">
      <c r="A47" s="380" t="s">
        <v>599</v>
      </c>
      <c r="B47" s="154" t="s">
        <v>740</v>
      </c>
      <c r="C47" s="241" t="s">
        <v>621</v>
      </c>
      <c r="D47" s="241" t="s">
        <v>621</v>
      </c>
      <c r="E47" s="241" t="s">
        <v>621</v>
      </c>
      <c r="F47" s="241" t="s">
        <v>621</v>
      </c>
      <c r="G47" s="241" t="s">
        <v>621</v>
      </c>
      <c r="H47" s="241" t="s">
        <v>621</v>
      </c>
      <c r="I47" s="241" t="s">
        <v>621</v>
      </c>
      <c r="J47" s="241" t="s">
        <v>621</v>
      </c>
      <c r="K47" s="241" t="s">
        <v>621</v>
      </c>
      <c r="L47" s="241" t="s">
        <v>621</v>
      </c>
      <c r="M47" s="241" t="s">
        <v>621</v>
      </c>
      <c r="N47" s="241" t="s">
        <v>621</v>
      </c>
      <c r="O47" s="241" t="s">
        <v>621</v>
      </c>
      <c r="P47" s="241" t="s">
        <v>621</v>
      </c>
      <c r="Q47" s="241" t="s">
        <v>621</v>
      </c>
      <c r="R47" s="241" t="s">
        <v>621</v>
      </c>
      <c r="S47" s="241">
        <f>S48</f>
        <v>2762</v>
      </c>
      <c r="T47" s="241" t="s">
        <v>621</v>
      </c>
      <c r="U47" s="241" t="s">
        <v>621</v>
      </c>
      <c r="V47" s="241" t="s">
        <v>621</v>
      </c>
      <c r="W47" s="241" t="s">
        <v>621</v>
      </c>
      <c r="X47" s="241">
        <f>X48</f>
        <v>2658</v>
      </c>
      <c r="Y47" s="241" t="s">
        <v>621</v>
      </c>
      <c r="Z47" s="241" t="s">
        <v>621</v>
      </c>
      <c r="AA47" s="241" t="s">
        <v>621</v>
      </c>
      <c r="AB47" s="241" t="s">
        <v>621</v>
      </c>
      <c r="AC47" s="241">
        <f>AC48</f>
        <v>2941</v>
      </c>
      <c r="AD47" s="241" t="s">
        <v>621</v>
      </c>
      <c r="AE47" s="241" t="s">
        <v>621</v>
      </c>
      <c r="AF47" s="241" t="s">
        <v>621</v>
      </c>
      <c r="AG47" s="241" t="s">
        <v>621</v>
      </c>
      <c r="AH47" s="241">
        <v>2824</v>
      </c>
      <c r="AI47" s="241" t="s">
        <v>621</v>
      </c>
      <c r="AJ47" s="241" t="s">
        <v>621</v>
      </c>
      <c r="AK47" s="241" t="s">
        <v>621</v>
      </c>
      <c r="AL47" s="241" t="s">
        <v>621</v>
      </c>
      <c r="AM47" s="241">
        <f>S47+X47+AC47+AH47</f>
        <v>11185</v>
      </c>
    </row>
    <row r="48" spans="1:40" s="539" customFormat="1" ht="40.5" x14ac:dyDescent="0.25">
      <c r="A48" s="938" t="s">
        <v>947</v>
      </c>
      <c r="B48" s="909" t="s">
        <v>948</v>
      </c>
      <c r="C48" s="911" t="s">
        <v>1056</v>
      </c>
      <c r="D48" s="241" t="s">
        <v>621</v>
      </c>
      <c r="E48" s="241" t="s">
        <v>621</v>
      </c>
      <c r="F48" s="241" t="s">
        <v>621</v>
      </c>
      <c r="G48" s="241" t="s">
        <v>621</v>
      </c>
      <c r="H48" s="241" t="s">
        <v>621</v>
      </c>
      <c r="I48" s="241" t="s">
        <v>621</v>
      </c>
      <c r="J48" s="241" t="s">
        <v>621</v>
      </c>
      <c r="K48" s="241" t="s">
        <v>621</v>
      </c>
      <c r="L48" s="241" t="s">
        <v>621</v>
      </c>
      <c r="M48" s="241" t="s">
        <v>621</v>
      </c>
      <c r="N48" s="241" t="s">
        <v>621</v>
      </c>
      <c r="O48" s="241" t="s">
        <v>621</v>
      </c>
      <c r="P48" s="241" t="s">
        <v>621</v>
      </c>
      <c r="Q48" s="241" t="s">
        <v>621</v>
      </c>
      <c r="R48" s="241" t="s">
        <v>621</v>
      </c>
      <c r="S48" s="241">
        <v>2762</v>
      </c>
      <c r="T48" s="241" t="s">
        <v>621</v>
      </c>
      <c r="U48" s="241" t="s">
        <v>621</v>
      </c>
      <c r="V48" s="241" t="s">
        <v>621</v>
      </c>
      <c r="W48" s="241" t="s">
        <v>621</v>
      </c>
      <c r="X48" s="241">
        <f>'Ф1 2022'!U63</f>
        <v>2658</v>
      </c>
      <c r="Y48" s="241" t="s">
        <v>621</v>
      </c>
      <c r="Z48" s="241" t="s">
        <v>621</v>
      </c>
      <c r="AA48" s="241" t="s">
        <v>621</v>
      </c>
      <c r="AB48" s="241" t="s">
        <v>621</v>
      </c>
      <c r="AC48" s="241">
        <f>'Ф1 2023'!T62</f>
        <v>2941</v>
      </c>
      <c r="AD48" s="241" t="s">
        <v>621</v>
      </c>
      <c r="AE48" s="241" t="s">
        <v>621</v>
      </c>
      <c r="AF48" s="241" t="s">
        <v>621</v>
      </c>
      <c r="AG48" s="241" t="s">
        <v>621</v>
      </c>
      <c r="AH48" s="241">
        <v>2824</v>
      </c>
      <c r="AI48" s="241" t="s">
        <v>621</v>
      </c>
      <c r="AJ48" s="241" t="s">
        <v>621</v>
      </c>
      <c r="AK48" s="241" t="s">
        <v>621</v>
      </c>
      <c r="AL48" s="241" t="s">
        <v>621</v>
      </c>
      <c r="AM48" s="241">
        <f>S48+X48+AC48+AH48</f>
        <v>11185</v>
      </c>
    </row>
    <row r="49" spans="1:40" s="200" customFormat="1" ht="81" x14ac:dyDescent="0.25">
      <c r="A49" s="1070" t="s">
        <v>547</v>
      </c>
      <c r="B49" s="1084" t="s">
        <v>705</v>
      </c>
      <c r="C49" s="547" t="s">
        <v>621</v>
      </c>
      <c r="D49" s="547" t="s">
        <v>621</v>
      </c>
      <c r="E49" s="546" t="s">
        <v>621</v>
      </c>
      <c r="F49" s="546" t="s">
        <v>621</v>
      </c>
      <c r="G49" s="546" t="s">
        <v>621</v>
      </c>
      <c r="H49" s="546" t="s">
        <v>621</v>
      </c>
      <c r="I49" s="546" t="s">
        <v>621</v>
      </c>
      <c r="J49" s="546">
        <f>J50</f>
        <v>1.6</v>
      </c>
      <c r="K49" s="546" t="s">
        <v>621</v>
      </c>
      <c r="L49" s="1085" t="s">
        <v>621</v>
      </c>
      <c r="M49" s="546" t="s">
        <v>621</v>
      </c>
      <c r="N49" s="546">
        <f>N50</f>
        <v>28</v>
      </c>
      <c r="O49" s="546">
        <f>O50</f>
        <v>0</v>
      </c>
      <c r="P49" s="546" t="s">
        <v>621</v>
      </c>
      <c r="Q49" s="546" t="s">
        <v>621</v>
      </c>
      <c r="R49" s="546" t="s">
        <v>621</v>
      </c>
      <c r="S49" s="546">
        <f>S50</f>
        <v>18</v>
      </c>
      <c r="T49" s="546">
        <f>T50</f>
        <v>1.26</v>
      </c>
      <c r="U49" s="546" t="s">
        <v>621</v>
      </c>
      <c r="V49" s="546" t="s">
        <v>621</v>
      </c>
      <c r="W49" s="546" t="s">
        <v>621</v>
      </c>
      <c r="X49" s="546">
        <f>X50</f>
        <v>42</v>
      </c>
      <c r="Y49" s="546">
        <f>Y50</f>
        <v>6.87</v>
      </c>
      <c r="Z49" s="546" t="s">
        <v>621</v>
      </c>
      <c r="AA49" s="546" t="s">
        <v>621</v>
      </c>
      <c r="AB49" s="546" t="s">
        <v>621</v>
      </c>
      <c r="AC49" s="546" t="s">
        <v>621</v>
      </c>
      <c r="AD49" s="546" t="s">
        <v>621</v>
      </c>
      <c r="AE49" s="546" t="s">
        <v>621</v>
      </c>
      <c r="AF49" s="546" t="s">
        <v>621</v>
      </c>
      <c r="AG49" s="546" t="s">
        <v>621</v>
      </c>
      <c r="AH49" s="546">
        <f>AH50</f>
        <v>36</v>
      </c>
      <c r="AI49" s="546">
        <f>AI50</f>
        <v>9.73</v>
      </c>
      <c r="AJ49" s="546" t="s">
        <v>621</v>
      </c>
      <c r="AK49" s="1085" t="s">
        <v>621</v>
      </c>
      <c r="AL49" s="546" t="s">
        <v>621</v>
      </c>
      <c r="AM49" s="545">
        <f>AM50</f>
        <v>124</v>
      </c>
      <c r="AN49" s="304"/>
    </row>
    <row r="50" spans="1:40" s="200" customFormat="1" ht="60.75" x14ac:dyDescent="0.25">
      <c r="A50" s="1070" t="s">
        <v>604</v>
      </c>
      <c r="B50" s="1084" t="s">
        <v>707</v>
      </c>
      <c r="C50" s="547" t="s">
        <v>621</v>
      </c>
      <c r="D50" s="547" t="s">
        <v>621</v>
      </c>
      <c r="E50" s="546" t="s">
        <v>621</v>
      </c>
      <c r="F50" s="546" t="s">
        <v>621</v>
      </c>
      <c r="G50" s="546" t="s">
        <v>621</v>
      </c>
      <c r="H50" s="546" t="s">
        <v>621</v>
      </c>
      <c r="I50" s="546" t="s">
        <v>621</v>
      </c>
      <c r="J50" s="546">
        <f>SUM(J51:J67)</f>
        <v>1.6</v>
      </c>
      <c r="K50" s="546" t="s">
        <v>621</v>
      </c>
      <c r="L50" s="1085" t="s">
        <v>621</v>
      </c>
      <c r="M50" s="546" t="s">
        <v>621</v>
      </c>
      <c r="N50" s="546">
        <f>SUM(N51:N67)</f>
        <v>28</v>
      </c>
      <c r="O50" s="546">
        <f>SUM(O51:O69)</f>
        <v>0</v>
      </c>
      <c r="P50" s="546" t="s">
        <v>621</v>
      </c>
      <c r="Q50" s="546" t="s">
        <v>621</v>
      </c>
      <c r="R50" s="546" t="s">
        <v>621</v>
      </c>
      <c r="S50" s="546">
        <f>SUM(S51:S67)</f>
        <v>18</v>
      </c>
      <c r="T50" s="546">
        <f>SUM(T51:T69)</f>
        <v>1.26</v>
      </c>
      <c r="U50" s="546" t="s">
        <v>621</v>
      </c>
      <c r="V50" s="546" t="s">
        <v>621</v>
      </c>
      <c r="W50" s="546" t="s">
        <v>621</v>
      </c>
      <c r="X50" s="546">
        <f>X58+X68</f>
        <v>42</v>
      </c>
      <c r="Y50" s="546">
        <f>SUM(Y51:Y67)</f>
        <v>6.87</v>
      </c>
      <c r="Z50" s="546" t="s">
        <v>621</v>
      </c>
      <c r="AA50" s="546" t="s">
        <v>621</v>
      </c>
      <c r="AB50" s="546" t="s">
        <v>621</v>
      </c>
      <c r="AC50" s="546" t="s">
        <v>621</v>
      </c>
      <c r="AD50" s="546" t="s">
        <v>621</v>
      </c>
      <c r="AE50" s="546" t="s">
        <v>621</v>
      </c>
      <c r="AF50" s="546" t="s">
        <v>621</v>
      </c>
      <c r="AG50" s="546" t="s">
        <v>621</v>
      </c>
      <c r="AH50" s="546">
        <f>SUM(AH51:AH67)</f>
        <v>36</v>
      </c>
      <c r="AI50" s="546">
        <f>SUM(AI51:AI69)</f>
        <v>9.73</v>
      </c>
      <c r="AJ50" s="546" t="s">
        <v>621</v>
      </c>
      <c r="AK50" s="1085" t="s">
        <v>621</v>
      </c>
      <c r="AL50" s="546" t="s">
        <v>621</v>
      </c>
      <c r="AM50" s="545">
        <f>SUM(AM51:AM68)</f>
        <v>124</v>
      </c>
      <c r="AN50" s="304"/>
    </row>
    <row r="51" spans="1:40" s="346" customFormat="1" ht="30.75" x14ac:dyDescent="0.25">
      <c r="A51" s="153" t="s">
        <v>885</v>
      </c>
      <c r="B51" s="154" t="s">
        <v>860</v>
      </c>
      <c r="C51" s="911" t="s">
        <v>1057</v>
      </c>
      <c r="D51" s="911" t="s">
        <v>621</v>
      </c>
      <c r="E51" s="245" t="s">
        <v>621</v>
      </c>
      <c r="F51" s="245" t="s">
        <v>621</v>
      </c>
      <c r="G51" s="245" t="s">
        <v>621</v>
      </c>
      <c r="H51" s="245" t="s">
        <v>621</v>
      </c>
      <c r="I51" s="245" t="s">
        <v>621</v>
      </c>
      <c r="J51" s="245">
        <f>'7'!AF54</f>
        <v>0.8</v>
      </c>
      <c r="K51" s="245" t="s">
        <v>621</v>
      </c>
      <c r="L51" s="256" t="s">
        <v>621</v>
      </c>
      <c r="M51" s="245" t="s">
        <v>621</v>
      </c>
      <c r="N51" s="245">
        <f>'7'!AL54</f>
        <v>0</v>
      </c>
      <c r="O51" s="245">
        <f>'7'!AT54</f>
        <v>0</v>
      </c>
      <c r="P51" s="245" t="s">
        <v>621</v>
      </c>
      <c r="Q51" s="245" t="s">
        <v>621</v>
      </c>
      <c r="R51" s="245" t="s">
        <v>621</v>
      </c>
      <c r="S51" s="245">
        <f>'7'!AZ54</f>
        <v>0</v>
      </c>
      <c r="T51" s="245">
        <f>'7'!BH54</f>
        <v>0</v>
      </c>
      <c r="U51" s="245" t="s">
        <v>621</v>
      </c>
      <c r="V51" s="245" t="s">
        <v>621</v>
      </c>
      <c r="W51" s="245" t="s">
        <v>621</v>
      </c>
      <c r="X51" s="245">
        <f>'7'!BN54</f>
        <v>0</v>
      </c>
      <c r="Y51" s="245">
        <f>'7'!BV54</f>
        <v>0</v>
      </c>
      <c r="Z51" s="245" t="s">
        <v>621</v>
      </c>
      <c r="AA51" s="245" t="s">
        <v>621</v>
      </c>
      <c r="AB51" s="245" t="s">
        <v>621</v>
      </c>
      <c r="AC51" s="245" t="s">
        <v>621</v>
      </c>
      <c r="AD51" s="245" t="s">
        <v>621</v>
      </c>
      <c r="AE51" s="245" t="s">
        <v>621</v>
      </c>
      <c r="AF51" s="245" t="s">
        <v>621</v>
      </c>
      <c r="AG51" s="245" t="s">
        <v>621</v>
      </c>
      <c r="AH51" s="245">
        <f>'7'!CP54</f>
        <v>0</v>
      </c>
      <c r="AI51" s="245">
        <f>'7'!D54</f>
        <v>0.8</v>
      </c>
      <c r="AJ51" s="245" t="s">
        <v>621</v>
      </c>
      <c r="AK51" s="256" t="s">
        <v>621</v>
      </c>
      <c r="AL51" s="245" t="s">
        <v>621</v>
      </c>
      <c r="AM51" s="241">
        <f>'7'!J54</f>
        <v>0</v>
      </c>
    </row>
    <row r="52" spans="1:40" s="346" customFormat="1" ht="30.75" x14ac:dyDescent="0.25">
      <c r="A52" s="153" t="s">
        <v>886</v>
      </c>
      <c r="B52" s="154" t="s">
        <v>861</v>
      </c>
      <c r="C52" s="911" t="s">
        <v>1058</v>
      </c>
      <c r="D52" s="911" t="s">
        <v>621</v>
      </c>
      <c r="E52" s="245" t="s">
        <v>621</v>
      </c>
      <c r="F52" s="245" t="s">
        <v>621</v>
      </c>
      <c r="G52" s="245" t="s">
        <v>621</v>
      </c>
      <c r="H52" s="245" t="s">
        <v>621</v>
      </c>
      <c r="I52" s="245" t="s">
        <v>621</v>
      </c>
      <c r="J52" s="245">
        <f>'7'!AF55</f>
        <v>0.8</v>
      </c>
      <c r="K52" s="245" t="s">
        <v>621</v>
      </c>
      <c r="L52" s="256" t="s">
        <v>621</v>
      </c>
      <c r="M52" s="245" t="s">
        <v>621</v>
      </c>
      <c r="N52" s="245">
        <f>'7'!AL55</f>
        <v>0</v>
      </c>
      <c r="O52" s="245">
        <f>'7'!AT55</f>
        <v>0</v>
      </c>
      <c r="P52" s="245" t="s">
        <v>621</v>
      </c>
      <c r="Q52" s="245" t="s">
        <v>621</v>
      </c>
      <c r="R52" s="245" t="s">
        <v>621</v>
      </c>
      <c r="S52" s="245">
        <f>'7'!AZ55</f>
        <v>0</v>
      </c>
      <c r="T52" s="245">
        <f>'7'!BH55</f>
        <v>0</v>
      </c>
      <c r="U52" s="245" t="s">
        <v>621</v>
      </c>
      <c r="V52" s="245" t="s">
        <v>621</v>
      </c>
      <c r="W52" s="245" t="s">
        <v>621</v>
      </c>
      <c r="X52" s="245">
        <f>'7'!BN55</f>
        <v>0</v>
      </c>
      <c r="Y52" s="245">
        <f>'7'!BV55</f>
        <v>0</v>
      </c>
      <c r="Z52" s="245" t="s">
        <v>621</v>
      </c>
      <c r="AA52" s="245" t="s">
        <v>621</v>
      </c>
      <c r="AB52" s="245" t="s">
        <v>621</v>
      </c>
      <c r="AC52" s="245" t="s">
        <v>621</v>
      </c>
      <c r="AD52" s="245" t="s">
        <v>621</v>
      </c>
      <c r="AE52" s="245" t="s">
        <v>621</v>
      </c>
      <c r="AF52" s="245" t="s">
        <v>621</v>
      </c>
      <c r="AG52" s="245" t="s">
        <v>621</v>
      </c>
      <c r="AH52" s="245">
        <f>'7'!CP55</f>
        <v>0</v>
      </c>
      <c r="AI52" s="245">
        <f>'7'!D55</f>
        <v>0.8</v>
      </c>
      <c r="AJ52" s="245" t="s">
        <v>621</v>
      </c>
      <c r="AK52" s="256" t="s">
        <v>621</v>
      </c>
      <c r="AL52" s="245" t="s">
        <v>621</v>
      </c>
      <c r="AM52" s="241">
        <f>'7'!J55</f>
        <v>0</v>
      </c>
    </row>
    <row r="53" spans="1:40" s="346" customFormat="1" ht="40.5" x14ac:dyDescent="0.25">
      <c r="A53" s="153" t="s">
        <v>887</v>
      </c>
      <c r="B53" s="154" t="s">
        <v>862</v>
      </c>
      <c r="C53" s="911" t="s">
        <v>1059</v>
      </c>
      <c r="D53" s="911" t="s">
        <v>621</v>
      </c>
      <c r="E53" s="245" t="s">
        <v>621</v>
      </c>
      <c r="F53" s="245" t="s">
        <v>621</v>
      </c>
      <c r="G53" s="245" t="s">
        <v>621</v>
      </c>
      <c r="H53" s="245" t="s">
        <v>621</v>
      </c>
      <c r="I53" s="245" t="s">
        <v>621</v>
      </c>
      <c r="J53" s="245">
        <f>'7'!AF56</f>
        <v>0</v>
      </c>
      <c r="K53" s="245" t="s">
        <v>621</v>
      </c>
      <c r="L53" s="256" t="s">
        <v>621</v>
      </c>
      <c r="M53" s="245" t="s">
        <v>621</v>
      </c>
      <c r="N53" s="245">
        <f>'7'!AL56</f>
        <v>28</v>
      </c>
      <c r="O53" s="245">
        <f>'7'!AT56</f>
        <v>0</v>
      </c>
      <c r="P53" s="245" t="s">
        <v>621</v>
      </c>
      <c r="Q53" s="245" t="s">
        <v>621</v>
      </c>
      <c r="R53" s="245" t="s">
        <v>621</v>
      </c>
      <c r="S53" s="245">
        <f>'7'!AZ56</f>
        <v>0</v>
      </c>
      <c r="T53" s="245">
        <f>'7'!BH56</f>
        <v>0</v>
      </c>
      <c r="U53" s="245" t="s">
        <v>621</v>
      </c>
      <c r="V53" s="245" t="s">
        <v>621</v>
      </c>
      <c r="W53" s="245" t="s">
        <v>621</v>
      </c>
      <c r="X53" s="245">
        <f>'7'!BN56</f>
        <v>0</v>
      </c>
      <c r="Y53" s="245">
        <f>'7'!BV56</f>
        <v>0</v>
      </c>
      <c r="Z53" s="245" t="s">
        <v>621</v>
      </c>
      <c r="AA53" s="245" t="s">
        <v>621</v>
      </c>
      <c r="AB53" s="245" t="s">
        <v>621</v>
      </c>
      <c r="AC53" s="245" t="s">
        <v>621</v>
      </c>
      <c r="AD53" s="245" t="s">
        <v>621</v>
      </c>
      <c r="AE53" s="245" t="s">
        <v>621</v>
      </c>
      <c r="AF53" s="245" t="s">
        <v>621</v>
      </c>
      <c r="AG53" s="245" t="s">
        <v>621</v>
      </c>
      <c r="AH53" s="245">
        <f>'7'!CP56</f>
        <v>0</v>
      </c>
      <c r="AI53" s="245">
        <f>'7'!D56</f>
        <v>0</v>
      </c>
      <c r="AJ53" s="245" t="s">
        <v>621</v>
      </c>
      <c r="AK53" s="256" t="s">
        <v>621</v>
      </c>
      <c r="AL53" s="245" t="s">
        <v>621</v>
      </c>
      <c r="AM53" s="241">
        <f>'7'!J56</f>
        <v>28</v>
      </c>
    </row>
    <row r="54" spans="1:40" s="346" customFormat="1" ht="30.75" x14ac:dyDescent="0.25">
      <c r="A54" s="153" t="s">
        <v>888</v>
      </c>
      <c r="B54" s="154" t="s">
        <v>866</v>
      </c>
      <c r="C54" s="911" t="s">
        <v>1060</v>
      </c>
      <c r="D54" s="911" t="s">
        <v>621</v>
      </c>
      <c r="E54" s="245" t="s">
        <v>621</v>
      </c>
      <c r="F54" s="245" t="s">
        <v>621</v>
      </c>
      <c r="G54" s="245" t="s">
        <v>621</v>
      </c>
      <c r="H54" s="245" t="s">
        <v>621</v>
      </c>
      <c r="I54" s="245" t="s">
        <v>621</v>
      </c>
      <c r="J54" s="245">
        <f>'7'!AF57</f>
        <v>0</v>
      </c>
      <c r="K54" s="245" t="s">
        <v>621</v>
      </c>
      <c r="L54" s="256" t="s">
        <v>621</v>
      </c>
      <c r="M54" s="245" t="s">
        <v>621</v>
      </c>
      <c r="N54" s="245">
        <f>'7'!AL57</f>
        <v>0</v>
      </c>
      <c r="O54" s="245">
        <v>0</v>
      </c>
      <c r="P54" s="245" t="s">
        <v>621</v>
      </c>
      <c r="Q54" s="245" t="s">
        <v>621</v>
      </c>
      <c r="R54" s="245" t="s">
        <v>621</v>
      </c>
      <c r="S54" s="245">
        <f>'7'!AZ57</f>
        <v>0</v>
      </c>
      <c r="T54" s="245">
        <f>'7'!BH57</f>
        <v>0</v>
      </c>
      <c r="U54" s="245" t="s">
        <v>621</v>
      </c>
      <c r="V54" s="245" t="s">
        <v>621</v>
      </c>
      <c r="W54" s="245" t="s">
        <v>621</v>
      </c>
      <c r="X54" s="245">
        <f>'7'!BN57</f>
        <v>0</v>
      </c>
      <c r="Y54" s="245">
        <f>'7'!BV57</f>
        <v>0</v>
      </c>
      <c r="Z54" s="245" t="s">
        <v>621</v>
      </c>
      <c r="AA54" s="245" t="s">
        <v>621</v>
      </c>
      <c r="AB54" s="245" t="s">
        <v>621</v>
      </c>
      <c r="AC54" s="245" t="s">
        <v>621</v>
      </c>
      <c r="AD54" s="245" t="s">
        <v>621</v>
      </c>
      <c r="AE54" s="245" t="s">
        <v>621</v>
      </c>
      <c r="AF54" s="245" t="s">
        <v>621</v>
      </c>
      <c r="AG54" s="245" t="s">
        <v>621</v>
      </c>
      <c r="AH54" s="245">
        <f>'7'!CP57</f>
        <v>0</v>
      </c>
      <c r="AI54" s="245">
        <v>0</v>
      </c>
      <c r="AJ54" s="245" t="s">
        <v>621</v>
      </c>
      <c r="AK54" s="256" t="s">
        <v>621</v>
      </c>
      <c r="AL54" s="245" t="s">
        <v>621</v>
      </c>
      <c r="AM54" s="241">
        <f>'7'!J57</f>
        <v>0</v>
      </c>
    </row>
    <row r="55" spans="1:40" s="346" customFormat="1" ht="81" x14ac:dyDescent="0.25">
      <c r="A55" s="153" t="s">
        <v>889</v>
      </c>
      <c r="B55" s="154" t="s">
        <v>916</v>
      </c>
      <c r="C55" s="911" t="s">
        <v>1061</v>
      </c>
      <c r="D55" s="911" t="s">
        <v>621</v>
      </c>
      <c r="E55" s="245" t="s">
        <v>621</v>
      </c>
      <c r="F55" s="245" t="s">
        <v>621</v>
      </c>
      <c r="G55" s="245" t="s">
        <v>621</v>
      </c>
      <c r="H55" s="245" t="s">
        <v>621</v>
      </c>
      <c r="I55" s="245" t="s">
        <v>621</v>
      </c>
      <c r="J55" s="245">
        <f>'7'!AF58</f>
        <v>0</v>
      </c>
      <c r="K55" s="245" t="s">
        <v>621</v>
      </c>
      <c r="L55" s="256" t="s">
        <v>621</v>
      </c>
      <c r="M55" s="245" t="s">
        <v>621</v>
      </c>
      <c r="N55" s="245">
        <f>'7'!AL58</f>
        <v>0</v>
      </c>
      <c r="O55" s="245">
        <f>'7'!AT58</f>
        <v>0</v>
      </c>
      <c r="P55" s="245" t="s">
        <v>621</v>
      </c>
      <c r="Q55" s="245" t="s">
        <v>621</v>
      </c>
      <c r="R55" s="245" t="s">
        <v>621</v>
      </c>
      <c r="S55" s="245">
        <v>18</v>
      </c>
      <c r="T55" s="245">
        <f>'7'!BH58</f>
        <v>0</v>
      </c>
      <c r="U55" s="245" t="s">
        <v>621</v>
      </c>
      <c r="V55" s="245" t="s">
        <v>621</v>
      </c>
      <c r="W55" s="245" t="s">
        <v>621</v>
      </c>
      <c r="X55" s="245">
        <f>'7'!BN58</f>
        <v>0</v>
      </c>
      <c r="Y55" s="245">
        <f>'7'!BV58</f>
        <v>0</v>
      </c>
      <c r="Z55" s="245" t="s">
        <v>621</v>
      </c>
      <c r="AA55" s="245" t="s">
        <v>621</v>
      </c>
      <c r="AB55" s="245" t="s">
        <v>621</v>
      </c>
      <c r="AC55" s="245" t="s">
        <v>621</v>
      </c>
      <c r="AD55" s="245" t="s">
        <v>621</v>
      </c>
      <c r="AE55" s="245" t="s">
        <v>621</v>
      </c>
      <c r="AF55" s="245" t="s">
        <v>621</v>
      </c>
      <c r="AG55" s="245" t="s">
        <v>621</v>
      </c>
      <c r="AH55" s="245">
        <f>'7'!CP58</f>
        <v>0</v>
      </c>
      <c r="AI55" s="245">
        <f>'7'!D58</f>
        <v>0</v>
      </c>
      <c r="AJ55" s="245" t="s">
        <v>621</v>
      </c>
      <c r="AK55" s="256" t="s">
        <v>621</v>
      </c>
      <c r="AL55" s="245" t="s">
        <v>621</v>
      </c>
      <c r="AM55" s="241">
        <v>18</v>
      </c>
    </row>
    <row r="56" spans="1:40" s="346" customFormat="1" ht="30.75" x14ac:dyDescent="0.25">
      <c r="A56" s="153" t="s">
        <v>890</v>
      </c>
      <c r="B56" s="154" t="s">
        <v>871</v>
      </c>
      <c r="C56" s="911" t="s">
        <v>1062</v>
      </c>
      <c r="D56" s="911" t="s">
        <v>621</v>
      </c>
      <c r="E56" s="245" t="s">
        <v>621</v>
      </c>
      <c r="F56" s="245" t="s">
        <v>621</v>
      </c>
      <c r="G56" s="245" t="s">
        <v>621</v>
      </c>
      <c r="H56" s="245" t="s">
        <v>621</v>
      </c>
      <c r="I56" s="245" t="s">
        <v>621</v>
      </c>
      <c r="J56" s="245">
        <f>'7'!AF59</f>
        <v>0</v>
      </c>
      <c r="K56" s="245" t="s">
        <v>621</v>
      </c>
      <c r="L56" s="256" t="s">
        <v>621</v>
      </c>
      <c r="M56" s="245" t="s">
        <v>621</v>
      </c>
      <c r="N56" s="245">
        <f>'7'!AL59</f>
        <v>0</v>
      </c>
      <c r="O56" s="245">
        <f>'7'!AT59</f>
        <v>0</v>
      </c>
      <c r="P56" s="245" t="s">
        <v>621</v>
      </c>
      <c r="Q56" s="245" t="s">
        <v>621</v>
      </c>
      <c r="R56" s="245" t="s">
        <v>621</v>
      </c>
      <c r="S56" s="245">
        <f>'7'!AZ59</f>
        <v>0</v>
      </c>
      <c r="T56" s="245">
        <v>0</v>
      </c>
      <c r="U56" s="245" t="s">
        <v>621</v>
      </c>
      <c r="V56" s="245" t="s">
        <v>621</v>
      </c>
      <c r="W56" s="245" t="s">
        <v>621</v>
      </c>
      <c r="X56" s="245">
        <f>'7'!BN59</f>
        <v>0</v>
      </c>
      <c r="Y56" s="245">
        <f>'7'!BV59</f>
        <v>0</v>
      </c>
      <c r="Z56" s="245" t="s">
        <v>621</v>
      </c>
      <c r="AA56" s="245" t="s">
        <v>621</v>
      </c>
      <c r="AB56" s="245" t="s">
        <v>621</v>
      </c>
      <c r="AC56" s="245" t="s">
        <v>621</v>
      </c>
      <c r="AD56" s="245" t="s">
        <v>621</v>
      </c>
      <c r="AE56" s="245" t="s">
        <v>621</v>
      </c>
      <c r="AF56" s="245" t="s">
        <v>621</v>
      </c>
      <c r="AG56" s="245" t="s">
        <v>621</v>
      </c>
      <c r="AH56" s="245">
        <f>'7'!CP59</f>
        <v>0</v>
      </c>
      <c r="AI56" s="245">
        <v>0</v>
      </c>
      <c r="AJ56" s="245" t="s">
        <v>621</v>
      </c>
      <c r="AK56" s="256" t="s">
        <v>621</v>
      </c>
      <c r="AL56" s="245" t="s">
        <v>621</v>
      </c>
      <c r="AM56" s="241">
        <f>'7'!J59</f>
        <v>0</v>
      </c>
    </row>
    <row r="57" spans="1:40" s="346" customFormat="1" ht="30.75" x14ac:dyDescent="0.25">
      <c r="A57" s="153" t="s">
        <v>891</v>
      </c>
      <c r="B57" s="154" t="s">
        <v>872</v>
      </c>
      <c r="C57" s="911" t="s">
        <v>1063</v>
      </c>
      <c r="D57" s="911" t="s">
        <v>621</v>
      </c>
      <c r="E57" s="245" t="s">
        <v>621</v>
      </c>
      <c r="F57" s="245" t="s">
        <v>621</v>
      </c>
      <c r="G57" s="245" t="s">
        <v>621</v>
      </c>
      <c r="H57" s="245" t="s">
        <v>621</v>
      </c>
      <c r="I57" s="245" t="s">
        <v>621</v>
      </c>
      <c r="J57" s="245">
        <f>'7'!AF60</f>
        <v>0</v>
      </c>
      <c r="K57" s="245" t="s">
        <v>621</v>
      </c>
      <c r="L57" s="256" t="s">
        <v>621</v>
      </c>
      <c r="M57" s="245" t="s">
        <v>621</v>
      </c>
      <c r="N57" s="245">
        <f>'7'!AL60</f>
        <v>0</v>
      </c>
      <c r="O57" s="245">
        <f>'7'!AT60</f>
        <v>0</v>
      </c>
      <c r="P57" s="245" t="s">
        <v>621</v>
      </c>
      <c r="Q57" s="245" t="s">
        <v>621</v>
      </c>
      <c r="R57" s="245" t="s">
        <v>621</v>
      </c>
      <c r="S57" s="245">
        <f>'7'!AZ60</f>
        <v>0</v>
      </c>
      <c r="T57" s="245">
        <v>0</v>
      </c>
      <c r="U57" s="245" t="s">
        <v>621</v>
      </c>
      <c r="V57" s="245" t="s">
        <v>621</v>
      </c>
      <c r="W57" s="245" t="s">
        <v>621</v>
      </c>
      <c r="X57" s="245">
        <f>'7'!BN60</f>
        <v>0</v>
      </c>
      <c r="Y57" s="245">
        <f>'7'!BV60</f>
        <v>0</v>
      </c>
      <c r="Z57" s="245" t="s">
        <v>621</v>
      </c>
      <c r="AA57" s="245" t="s">
        <v>621</v>
      </c>
      <c r="AB57" s="245" t="s">
        <v>621</v>
      </c>
      <c r="AC57" s="245" t="s">
        <v>621</v>
      </c>
      <c r="AD57" s="245" t="s">
        <v>621</v>
      </c>
      <c r="AE57" s="245" t="s">
        <v>621</v>
      </c>
      <c r="AF57" s="245" t="s">
        <v>621</v>
      </c>
      <c r="AG57" s="245" t="s">
        <v>621</v>
      </c>
      <c r="AH57" s="245">
        <f>'7'!CP60</f>
        <v>0</v>
      </c>
      <c r="AI57" s="245">
        <v>0</v>
      </c>
      <c r="AJ57" s="245" t="s">
        <v>621</v>
      </c>
      <c r="AK57" s="256" t="s">
        <v>621</v>
      </c>
      <c r="AL57" s="245" t="s">
        <v>621</v>
      </c>
      <c r="AM57" s="241">
        <f>'7'!J60</f>
        <v>0</v>
      </c>
    </row>
    <row r="58" spans="1:40" s="346" customFormat="1" ht="40.5" x14ac:dyDescent="0.25">
      <c r="A58" s="153" t="s">
        <v>892</v>
      </c>
      <c r="B58" s="154" t="s">
        <v>873</v>
      </c>
      <c r="C58" s="911" t="s">
        <v>1064</v>
      </c>
      <c r="D58" s="911" t="s">
        <v>621</v>
      </c>
      <c r="E58" s="245" t="s">
        <v>621</v>
      </c>
      <c r="F58" s="245" t="s">
        <v>621</v>
      </c>
      <c r="G58" s="245" t="s">
        <v>621</v>
      </c>
      <c r="H58" s="245" t="s">
        <v>621</v>
      </c>
      <c r="I58" s="245" t="s">
        <v>621</v>
      </c>
      <c r="J58" s="245">
        <f>'7'!AF61</f>
        <v>0</v>
      </c>
      <c r="K58" s="245" t="s">
        <v>621</v>
      </c>
      <c r="L58" s="256" t="s">
        <v>621</v>
      </c>
      <c r="M58" s="245" t="s">
        <v>621</v>
      </c>
      <c r="N58" s="245">
        <f>'7'!AL61</f>
        <v>0</v>
      </c>
      <c r="O58" s="245">
        <f>'7'!AT61</f>
        <v>0</v>
      </c>
      <c r="P58" s="245" t="s">
        <v>621</v>
      </c>
      <c r="Q58" s="245" t="s">
        <v>621</v>
      </c>
      <c r="R58" s="245" t="s">
        <v>621</v>
      </c>
      <c r="S58" s="245">
        <f>'7'!AZ61</f>
        <v>0</v>
      </c>
      <c r="T58" s="245">
        <f>'7'!BH61</f>
        <v>0</v>
      </c>
      <c r="U58" s="245" t="s">
        <v>621</v>
      </c>
      <c r="V58" s="245" t="s">
        <v>621</v>
      </c>
      <c r="W58" s="245" t="s">
        <v>621</v>
      </c>
      <c r="X58" s="245">
        <v>31</v>
      </c>
      <c r="Y58" s="245">
        <f>'7'!BV61</f>
        <v>0</v>
      </c>
      <c r="Z58" s="245" t="s">
        <v>621</v>
      </c>
      <c r="AA58" s="245" t="s">
        <v>621</v>
      </c>
      <c r="AB58" s="245" t="s">
        <v>621</v>
      </c>
      <c r="AC58" s="245" t="s">
        <v>621</v>
      </c>
      <c r="AD58" s="245" t="s">
        <v>621</v>
      </c>
      <c r="AE58" s="245" t="s">
        <v>621</v>
      </c>
      <c r="AF58" s="245" t="s">
        <v>621</v>
      </c>
      <c r="AG58" s="245" t="s">
        <v>621</v>
      </c>
      <c r="AH58" s="245">
        <f>'7'!CP61</f>
        <v>0</v>
      </c>
      <c r="AI58" s="245">
        <f>'7'!D61</f>
        <v>0</v>
      </c>
      <c r="AJ58" s="245" t="s">
        <v>621</v>
      </c>
      <c r="AK58" s="256" t="s">
        <v>621</v>
      </c>
      <c r="AL58" s="245" t="s">
        <v>621</v>
      </c>
      <c r="AM58" s="241">
        <v>31</v>
      </c>
    </row>
    <row r="59" spans="1:40" s="346" customFormat="1" ht="30.75" x14ac:dyDescent="0.25">
      <c r="A59" s="153" t="s">
        <v>893</v>
      </c>
      <c r="B59" s="154" t="s">
        <v>877</v>
      </c>
      <c r="C59" s="911" t="s">
        <v>1065</v>
      </c>
      <c r="D59" s="911" t="s">
        <v>621</v>
      </c>
      <c r="E59" s="245" t="s">
        <v>621</v>
      </c>
      <c r="F59" s="245" t="s">
        <v>621</v>
      </c>
      <c r="G59" s="245" t="s">
        <v>621</v>
      </c>
      <c r="H59" s="245" t="s">
        <v>621</v>
      </c>
      <c r="I59" s="245" t="s">
        <v>621</v>
      </c>
      <c r="J59" s="245">
        <f>'7'!AF62</f>
        <v>0</v>
      </c>
      <c r="K59" s="245" t="s">
        <v>621</v>
      </c>
      <c r="L59" s="256" t="s">
        <v>621</v>
      </c>
      <c r="M59" s="245" t="s">
        <v>621</v>
      </c>
      <c r="N59" s="245">
        <f>'7'!AL62</f>
        <v>0</v>
      </c>
      <c r="O59" s="245">
        <f>'7'!AT62</f>
        <v>0</v>
      </c>
      <c r="P59" s="245" t="s">
        <v>621</v>
      </c>
      <c r="Q59" s="245" t="s">
        <v>621</v>
      </c>
      <c r="R59" s="245" t="s">
        <v>621</v>
      </c>
      <c r="S59" s="245">
        <f>'7'!AZ62</f>
        <v>0</v>
      </c>
      <c r="T59" s="245">
        <f>'7'!BH62</f>
        <v>0</v>
      </c>
      <c r="U59" s="245" t="s">
        <v>621</v>
      </c>
      <c r="V59" s="245" t="s">
        <v>621</v>
      </c>
      <c r="W59" s="245" t="s">
        <v>621</v>
      </c>
      <c r="X59" s="245">
        <f>'7'!BN62</f>
        <v>0</v>
      </c>
      <c r="Y59" s="245">
        <f>'7'!BV62</f>
        <v>1.26</v>
      </c>
      <c r="Z59" s="245" t="s">
        <v>621</v>
      </c>
      <c r="AA59" s="245" t="s">
        <v>621</v>
      </c>
      <c r="AB59" s="245" t="s">
        <v>621</v>
      </c>
      <c r="AC59" s="245" t="s">
        <v>621</v>
      </c>
      <c r="AD59" s="245" t="s">
        <v>621</v>
      </c>
      <c r="AE59" s="245" t="s">
        <v>621</v>
      </c>
      <c r="AF59" s="245" t="s">
        <v>621</v>
      </c>
      <c r="AG59" s="245" t="s">
        <v>621</v>
      </c>
      <c r="AH59" s="245">
        <f>'7'!CP62</f>
        <v>0</v>
      </c>
      <c r="AI59" s="245">
        <f>'7'!D62</f>
        <v>1.26</v>
      </c>
      <c r="AJ59" s="245" t="s">
        <v>621</v>
      </c>
      <c r="AK59" s="256" t="s">
        <v>621</v>
      </c>
      <c r="AL59" s="245" t="s">
        <v>621</v>
      </c>
      <c r="AM59" s="241">
        <f>'7'!J62</f>
        <v>0</v>
      </c>
    </row>
    <row r="60" spans="1:40" s="346" customFormat="1" ht="30.75" x14ac:dyDescent="0.25">
      <c r="A60" s="153" t="s">
        <v>894</v>
      </c>
      <c r="B60" s="154" t="s">
        <v>878</v>
      </c>
      <c r="C60" s="911" t="s">
        <v>1066</v>
      </c>
      <c r="D60" s="911" t="s">
        <v>621</v>
      </c>
      <c r="E60" s="245" t="s">
        <v>621</v>
      </c>
      <c r="F60" s="245" t="s">
        <v>621</v>
      </c>
      <c r="G60" s="245" t="s">
        <v>621</v>
      </c>
      <c r="H60" s="245" t="s">
        <v>621</v>
      </c>
      <c r="I60" s="245" t="s">
        <v>621</v>
      </c>
      <c r="J60" s="245">
        <f>'7'!AF63</f>
        <v>0</v>
      </c>
      <c r="K60" s="245" t="s">
        <v>621</v>
      </c>
      <c r="L60" s="256" t="s">
        <v>621</v>
      </c>
      <c r="M60" s="245" t="s">
        <v>621</v>
      </c>
      <c r="N60" s="245">
        <f>'7'!AL63</f>
        <v>0</v>
      </c>
      <c r="O60" s="245">
        <f>'7'!AT63</f>
        <v>0</v>
      </c>
      <c r="P60" s="245" t="s">
        <v>621</v>
      </c>
      <c r="Q60" s="245" t="s">
        <v>621</v>
      </c>
      <c r="R60" s="245" t="s">
        <v>621</v>
      </c>
      <c r="S60" s="245">
        <f>'7'!AZ63</f>
        <v>0</v>
      </c>
      <c r="T60" s="245">
        <f>'7'!BH63</f>
        <v>0</v>
      </c>
      <c r="U60" s="245" t="s">
        <v>621</v>
      </c>
      <c r="V60" s="245" t="s">
        <v>621</v>
      </c>
      <c r="W60" s="245" t="s">
        <v>621</v>
      </c>
      <c r="X60" s="245">
        <f>'7'!BN63</f>
        <v>0</v>
      </c>
      <c r="Y60" s="245">
        <f>'7'!BV63</f>
        <v>1.03</v>
      </c>
      <c r="Z60" s="245" t="s">
        <v>621</v>
      </c>
      <c r="AA60" s="245" t="s">
        <v>621</v>
      </c>
      <c r="AB60" s="245" t="s">
        <v>621</v>
      </c>
      <c r="AC60" s="245" t="s">
        <v>621</v>
      </c>
      <c r="AD60" s="245" t="s">
        <v>621</v>
      </c>
      <c r="AE60" s="245" t="s">
        <v>621</v>
      </c>
      <c r="AF60" s="245" t="s">
        <v>621</v>
      </c>
      <c r="AG60" s="245" t="s">
        <v>621</v>
      </c>
      <c r="AH60" s="245">
        <f>'7'!CP63</f>
        <v>0</v>
      </c>
      <c r="AI60" s="245">
        <f>'7'!D63</f>
        <v>1.03</v>
      </c>
      <c r="AJ60" s="245" t="s">
        <v>621</v>
      </c>
      <c r="AK60" s="256" t="s">
        <v>621</v>
      </c>
      <c r="AL60" s="245" t="s">
        <v>621</v>
      </c>
      <c r="AM60" s="241">
        <f>'7'!J63</f>
        <v>0</v>
      </c>
    </row>
    <row r="61" spans="1:40" s="346" customFormat="1" ht="30.75" x14ac:dyDescent="0.25">
      <c r="A61" s="153" t="s">
        <v>895</v>
      </c>
      <c r="B61" s="154" t="s">
        <v>879</v>
      </c>
      <c r="C61" s="911" t="s">
        <v>1067</v>
      </c>
      <c r="D61" s="911" t="s">
        <v>621</v>
      </c>
      <c r="E61" s="245" t="s">
        <v>621</v>
      </c>
      <c r="F61" s="245" t="s">
        <v>621</v>
      </c>
      <c r="G61" s="245" t="s">
        <v>621</v>
      </c>
      <c r="H61" s="245" t="s">
        <v>621</v>
      </c>
      <c r="I61" s="245" t="s">
        <v>621</v>
      </c>
      <c r="J61" s="245">
        <f>'7'!AF64</f>
        <v>0</v>
      </c>
      <c r="K61" s="245" t="s">
        <v>621</v>
      </c>
      <c r="L61" s="256" t="s">
        <v>621</v>
      </c>
      <c r="M61" s="245" t="s">
        <v>621</v>
      </c>
      <c r="N61" s="245">
        <f>'7'!AL64</f>
        <v>0</v>
      </c>
      <c r="O61" s="245">
        <f>'7'!AT64</f>
        <v>0</v>
      </c>
      <c r="P61" s="245" t="s">
        <v>621</v>
      </c>
      <c r="Q61" s="245" t="s">
        <v>621</v>
      </c>
      <c r="R61" s="245" t="s">
        <v>621</v>
      </c>
      <c r="S61" s="245">
        <f>'7'!AZ64</f>
        <v>0</v>
      </c>
      <c r="T61" s="245">
        <f>'7'!BH64</f>
        <v>0</v>
      </c>
      <c r="U61" s="245" t="s">
        <v>621</v>
      </c>
      <c r="V61" s="245" t="s">
        <v>621</v>
      </c>
      <c r="W61" s="245" t="s">
        <v>621</v>
      </c>
      <c r="X61" s="245">
        <f>'7'!BN64</f>
        <v>0</v>
      </c>
      <c r="Y61" s="245">
        <f>'7'!BV64</f>
        <v>0.63</v>
      </c>
      <c r="Z61" s="245" t="s">
        <v>621</v>
      </c>
      <c r="AA61" s="245" t="s">
        <v>621</v>
      </c>
      <c r="AB61" s="245" t="s">
        <v>621</v>
      </c>
      <c r="AC61" s="245" t="s">
        <v>621</v>
      </c>
      <c r="AD61" s="245" t="s">
        <v>621</v>
      </c>
      <c r="AE61" s="245" t="s">
        <v>621</v>
      </c>
      <c r="AF61" s="245" t="s">
        <v>621</v>
      </c>
      <c r="AG61" s="245" t="s">
        <v>621</v>
      </c>
      <c r="AH61" s="245">
        <f>'7'!CP64</f>
        <v>0</v>
      </c>
      <c r="AI61" s="245">
        <f>'7'!D64</f>
        <v>0.63</v>
      </c>
      <c r="AJ61" s="245" t="s">
        <v>621</v>
      </c>
      <c r="AK61" s="256" t="s">
        <v>621</v>
      </c>
      <c r="AL61" s="245" t="s">
        <v>621</v>
      </c>
      <c r="AM61" s="241">
        <f>'7'!J64</f>
        <v>0</v>
      </c>
    </row>
    <row r="62" spans="1:40" s="346" customFormat="1" ht="30.75" x14ac:dyDescent="0.25">
      <c r="A62" s="153" t="s">
        <v>896</v>
      </c>
      <c r="B62" s="154" t="s">
        <v>880</v>
      </c>
      <c r="C62" s="911" t="s">
        <v>1068</v>
      </c>
      <c r="D62" s="911" t="s">
        <v>621</v>
      </c>
      <c r="E62" s="245" t="s">
        <v>621</v>
      </c>
      <c r="F62" s="245" t="s">
        <v>621</v>
      </c>
      <c r="G62" s="245" t="s">
        <v>621</v>
      </c>
      <c r="H62" s="245" t="s">
        <v>621</v>
      </c>
      <c r="I62" s="245" t="s">
        <v>621</v>
      </c>
      <c r="J62" s="245">
        <f>'7'!AF65</f>
        <v>0</v>
      </c>
      <c r="K62" s="245" t="s">
        <v>621</v>
      </c>
      <c r="L62" s="256" t="s">
        <v>621</v>
      </c>
      <c r="M62" s="245" t="s">
        <v>621</v>
      </c>
      <c r="N62" s="245">
        <f>'7'!AL65</f>
        <v>0</v>
      </c>
      <c r="O62" s="245">
        <f>'7'!AT65</f>
        <v>0</v>
      </c>
      <c r="P62" s="245" t="s">
        <v>621</v>
      </c>
      <c r="Q62" s="245" t="s">
        <v>621</v>
      </c>
      <c r="R62" s="245" t="s">
        <v>621</v>
      </c>
      <c r="S62" s="245">
        <f>'7'!AZ65</f>
        <v>0</v>
      </c>
      <c r="T62" s="245">
        <f>'7'!BH65</f>
        <v>0</v>
      </c>
      <c r="U62" s="245" t="s">
        <v>621</v>
      </c>
      <c r="V62" s="245" t="s">
        <v>621</v>
      </c>
      <c r="W62" s="245" t="s">
        <v>621</v>
      </c>
      <c r="X62" s="245">
        <f>'7'!BN65</f>
        <v>0</v>
      </c>
      <c r="Y62" s="245">
        <f>'7'!BV65</f>
        <v>0.63</v>
      </c>
      <c r="Z62" s="245" t="s">
        <v>621</v>
      </c>
      <c r="AA62" s="245" t="s">
        <v>621</v>
      </c>
      <c r="AB62" s="245" t="s">
        <v>621</v>
      </c>
      <c r="AC62" s="245" t="s">
        <v>621</v>
      </c>
      <c r="AD62" s="245" t="s">
        <v>621</v>
      </c>
      <c r="AE62" s="245" t="s">
        <v>621</v>
      </c>
      <c r="AF62" s="245" t="s">
        <v>621</v>
      </c>
      <c r="AG62" s="245" t="s">
        <v>621</v>
      </c>
      <c r="AH62" s="245">
        <f>'7'!CP65</f>
        <v>0</v>
      </c>
      <c r="AI62" s="245">
        <f>'7'!D65</f>
        <v>0.63</v>
      </c>
      <c r="AJ62" s="245" t="s">
        <v>621</v>
      </c>
      <c r="AK62" s="256" t="s">
        <v>621</v>
      </c>
      <c r="AL62" s="245" t="s">
        <v>621</v>
      </c>
      <c r="AM62" s="241">
        <f>'7'!J65</f>
        <v>0</v>
      </c>
    </row>
    <row r="63" spans="1:40" s="346" customFormat="1" ht="30.75" x14ac:dyDescent="0.25">
      <c r="A63" s="153" t="s">
        <v>897</v>
      </c>
      <c r="B63" s="154" t="s">
        <v>881</v>
      </c>
      <c r="C63" s="911" t="s">
        <v>1069</v>
      </c>
      <c r="D63" s="911" t="s">
        <v>621</v>
      </c>
      <c r="E63" s="245" t="s">
        <v>621</v>
      </c>
      <c r="F63" s="245" t="s">
        <v>621</v>
      </c>
      <c r="G63" s="245" t="s">
        <v>621</v>
      </c>
      <c r="H63" s="245" t="s">
        <v>621</v>
      </c>
      <c r="I63" s="245" t="s">
        <v>621</v>
      </c>
      <c r="J63" s="245">
        <f>'7'!AF66</f>
        <v>0</v>
      </c>
      <c r="K63" s="245" t="s">
        <v>621</v>
      </c>
      <c r="L63" s="256" t="s">
        <v>621</v>
      </c>
      <c r="M63" s="245" t="s">
        <v>621</v>
      </c>
      <c r="N63" s="245">
        <f>'7'!AL66</f>
        <v>0</v>
      </c>
      <c r="O63" s="245">
        <f>'7'!AT66</f>
        <v>0</v>
      </c>
      <c r="P63" s="245" t="s">
        <v>621</v>
      </c>
      <c r="Q63" s="245" t="s">
        <v>621</v>
      </c>
      <c r="R63" s="245" t="s">
        <v>621</v>
      </c>
      <c r="S63" s="245">
        <f>'7'!AZ66</f>
        <v>0</v>
      </c>
      <c r="T63" s="245">
        <f>'7'!BH66</f>
        <v>0</v>
      </c>
      <c r="U63" s="245" t="s">
        <v>621</v>
      </c>
      <c r="V63" s="245" t="s">
        <v>621</v>
      </c>
      <c r="W63" s="245" t="s">
        <v>621</v>
      </c>
      <c r="X63" s="245">
        <f>'7'!BN66</f>
        <v>0</v>
      </c>
      <c r="Y63" s="245">
        <f>'7'!BV66</f>
        <v>0.8</v>
      </c>
      <c r="Z63" s="245" t="s">
        <v>621</v>
      </c>
      <c r="AA63" s="245" t="s">
        <v>621</v>
      </c>
      <c r="AB63" s="245" t="s">
        <v>621</v>
      </c>
      <c r="AC63" s="245" t="s">
        <v>621</v>
      </c>
      <c r="AD63" s="245" t="s">
        <v>621</v>
      </c>
      <c r="AE63" s="245" t="s">
        <v>621</v>
      </c>
      <c r="AF63" s="245" t="s">
        <v>621</v>
      </c>
      <c r="AG63" s="245" t="s">
        <v>621</v>
      </c>
      <c r="AH63" s="245">
        <f>'7'!CP66</f>
        <v>0</v>
      </c>
      <c r="AI63" s="245">
        <f>'7'!D66</f>
        <v>0.8</v>
      </c>
      <c r="AJ63" s="245" t="s">
        <v>621</v>
      </c>
      <c r="AK63" s="256" t="s">
        <v>621</v>
      </c>
      <c r="AL63" s="245" t="s">
        <v>621</v>
      </c>
      <c r="AM63" s="241">
        <f>'7'!J66</f>
        <v>0</v>
      </c>
    </row>
    <row r="64" spans="1:40" s="346" customFormat="1" ht="30.75" x14ac:dyDescent="0.25">
      <c r="A64" s="153" t="s">
        <v>898</v>
      </c>
      <c r="B64" s="154" t="s">
        <v>882</v>
      </c>
      <c r="C64" s="911" t="s">
        <v>1070</v>
      </c>
      <c r="D64" s="911" t="s">
        <v>621</v>
      </c>
      <c r="E64" s="245" t="s">
        <v>621</v>
      </c>
      <c r="F64" s="245" t="s">
        <v>621</v>
      </c>
      <c r="G64" s="245" t="s">
        <v>621</v>
      </c>
      <c r="H64" s="245" t="s">
        <v>621</v>
      </c>
      <c r="I64" s="245" t="s">
        <v>621</v>
      </c>
      <c r="J64" s="245">
        <f>'7'!AF67</f>
        <v>0</v>
      </c>
      <c r="K64" s="245" t="s">
        <v>621</v>
      </c>
      <c r="L64" s="256" t="s">
        <v>621</v>
      </c>
      <c r="M64" s="245" t="s">
        <v>621</v>
      </c>
      <c r="N64" s="245">
        <f>'7'!AL67</f>
        <v>0</v>
      </c>
      <c r="O64" s="245">
        <f>'7'!AT67</f>
        <v>0</v>
      </c>
      <c r="P64" s="245" t="s">
        <v>621</v>
      </c>
      <c r="Q64" s="245" t="s">
        <v>621</v>
      </c>
      <c r="R64" s="245" t="s">
        <v>621</v>
      </c>
      <c r="S64" s="245">
        <f>'7'!AZ67</f>
        <v>0</v>
      </c>
      <c r="T64" s="245">
        <f>'7'!BH67</f>
        <v>0</v>
      </c>
      <c r="U64" s="245" t="s">
        <v>621</v>
      </c>
      <c r="V64" s="245" t="s">
        <v>621</v>
      </c>
      <c r="W64" s="245" t="s">
        <v>621</v>
      </c>
      <c r="X64" s="245">
        <f>'7'!BN67</f>
        <v>0</v>
      </c>
      <c r="Y64" s="245">
        <f>'7'!BV67</f>
        <v>1.26</v>
      </c>
      <c r="Z64" s="245" t="s">
        <v>621</v>
      </c>
      <c r="AA64" s="245" t="s">
        <v>621</v>
      </c>
      <c r="AB64" s="245" t="s">
        <v>621</v>
      </c>
      <c r="AC64" s="245" t="s">
        <v>621</v>
      </c>
      <c r="AD64" s="245" t="s">
        <v>621</v>
      </c>
      <c r="AE64" s="245" t="s">
        <v>621</v>
      </c>
      <c r="AF64" s="245" t="s">
        <v>621</v>
      </c>
      <c r="AG64" s="245" t="s">
        <v>621</v>
      </c>
      <c r="AH64" s="245">
        <f>'7'!CP67</f>
        <v>0</v>
      </c>
      <c r="AI64" s="245">
        <f>'7'!D67</f>
        <v>1.26</v>
      </c>
      <c r="AJ64" s="245" t="s">
        <v>621</v>
      </c>
      <c r="AK64" s="256" t="s">
        <v>621</v>
      </c>
      <c r="AL64" s="245" t="s">
        <v>621</v>
      </c>
      <c r="AM64" s="241">
        <f>'7'!J67</f>
        <v>0</v>
      </c>
    </row>
    <row r="65" spans="1:40" s="346" customFormat="1" ht="30.75" x14ac:dyDescent="0.25">
      <c r="A65" s="153" t="s">
        <v>899</v>
      </c>
      <c r="B65" s="154" t="s">
        <v>883</v>
      </c>
      <c r="C65" s="911" t="s">
        <v>1071</v>
      </c>
      <c r="D65" s="911" t="s">
        <v>621</v>
      </c>
      <c r="E65" s="245" t="s">
        <v>621</v>
      </c>
      <c r="F65" s="245" t="s">
        <v>621</v>
      </c>
      <c r="G65" s="245" t="s">
        <v>621</v>
      </c>
      <c r="H65" s="245" t="s">
        <v>621</v>
      </c>
      <c r="I65" s="245" t="s">
        <v>621</v>
      </c>
      <c r="J65" s="245">
        <f>'7'!AF68</f>
        <v>0</v>
      </c>
      <c r="K65" s="245" t="s">
        <v>621</v>
      </c>
      <c r="L65" s="256" t="s">
        <v>621</v>
      </c>
      <c r="M65" s="245" t="s">
        <v>621</v>
      </c>
      <c r="N65" s="245">
        <f>'7'!AL68</f>
        <v>0</v>
      </c>
      <c r="O65" s="245">
        <f>'7'!AT68</f>
        <v>0</v>
      </c>
      <c r="P65" s="245" t="s">
        <v>621</v>
      </c>
      <c r="Q65" s="245" t="s">
        <v>621</v>
      </c>
      <c r="R65" s="245" t="s">
        <v>621</v>
      </c>
      <c r="S65" s="245">
        <f>'7'!AZ68</f>
        <v>0</v>
      </c>
      <c r="T65" s="245">
        <f>'7'!BH68</f>
        <v>0</v>
      </c>
      <c r="U65" s="245" t="s">
        <v>621</v>
      </c>
      <c r="V65" s="245" t="s">
        <v>621</v>
      </c>
      <c r="W65" s="245" t="s">
        <v>621</v>
      </c>
      <c r="X65" s="245">
        <f>'7'!BN68</f>
        <v>0</v>
      </c>
      <c r="Y65" s="245">
        <f>'7'!BV68</f>
        <v>1.26</v>
      </c>
      <c r="Z65" s="245" t="s">
        <v>621</v>
      </c>
      <c r="AA65" s="245" t="s">
        <v>621</v>
      </c>
      <c r="AB65" s="245" t="s">
        <v>621</v>
      </c>
      <c r="AC65" s="245" t="s">
        <v>621</v>
      </c>
      <c r="AD65" s="245" t="s">
        <v>621</v>
      </c>
      <c r="AE65" s="245" t="s">
        <v>621</v>
      </c>
      <c r="AF65" s="245" t="s">
        <v>621</v>
      </c>
      <c r="AG65" s="245" t="s">
        <v>621</v>
      </c>
      <c r="AH65" s="245">
        <f>'7'!CP68</f>
        <v>0</v>
      </c>
      <c r="AI65" s="245">
        <f>'7'!D68</f>
        <v>1.26</v>
      </c>
      <c r="AJ65" s="245" t="s">
        <v>621</v>
      </c>
      <c r="AK65" s="256" t="s">
        <v>621</v>
      </c>
      <c r="AL65" s="245" t="s">
        <v>621</v>
      </c>
      <c r="AM65" s="241">
        <f>'7'!J68</f>
        <v>0</v>
      </c>
    </row>
    <row r="66" spans="1:40" s="346" customFormat="1" ht="40.5" x14ac:dyDescent="0.25">
      <c r="A66" s="153" t="s">
        <v>900</v>
      </c>
      <c r="B66" s="154" t="s">
        <v>902</v>
      </c>
      <c r="C66" s="911" t="s">
        <v>1072</v>
      </c>
      <c r="D66" s="911" t="s">
        <v>621</v>
      </c>
      <c r="E66" s="245" t="s">
        <v>621</v>
      </c>
      <c r="F66" s="245" t="s">
        <v>621</v>
      </c>
      <c r="G66" s="245" t="s">
        <v>621</v>
      </c>
      <c r="H66" s="245" t="s">
        <v>621</v>
      </c>
      <c r="I66" s="245" t="s">
        <v>621</v>
      </c>
      <c r="J66" s="245">
        <f>'7'!AF69</f>
        <v>0</v>
      </c>
      <c r="K66" s="245" t="s">
        <v>621</v>
      </c>
      <c r="L66" s="256" t="s">
        <v>621</v>
      </c>
      <c r="M66" s="245" t="s">
        <v>621</v>
      </c>
      <c r="N66" s="245">
        <f>'7'!AL69</f>
        <v>0</v>
      </c>
      <c r="O66" s="245">
        <f>'7'!AT69</f>
        <v>0</v>
      </c>
      <c r="P66" s="245" t="s">
        <v>621</v>
      </c>
      <c r="Q66" s="245" t="s">
        <v>621</v>
      </c>
      <c r="R66" s="245" t="s">
        <v>621</v>
      </c>
      <c r="S66" s="245">
        <f>'7'!AZ69</f>
        <v>0</v>
      </c>
      <c r="T66" s="245">
        <f>'7'!BH69</f>
        <v>0</v>
      </c>
      <c r="U66" s="245" t="s">
        <v>621</v>
      </c>
      <c r="V66" s="245" t="s">
        <v>621</v>
      </c>
      <c r="W66" s="245" t="s">
        <v>621</v>
      </c>
      <c r="X66" s="245">
        <f>'7'!BN69</f>
        <v>0</v>
      </c>
      <c r="Y66" s="245">
        <f>'7'!BV69</f>
        <v>0</v>
      </c>
      <c r="Z66" s="245" t="s">
        <v>621</v>
      </c>
      <c r="AA66" s="245" t="s">
        <v>621</v>
      </c>
      <c r="AB66" s="245" t="s">
        <v>621</v>
      </c>
      <c r="AC66" s="245" t="s">
        <v>621</v>
      </c>
      <c r="AD66" s="245" t="s">
        <v>621</v>
      </c>
      <c r="AE66" s="245" t="s">
        <v>621</v>
      </c>
      <c r="AF66" s="245" t="s">
        <v>621</v>
      </c>
      <c r="AG66" s="245" t="s">
        <v>621</v>
      </c>
      <c r="AH66" s="245">
        <f>'7'!CP69</f>
        <v>23</v>
      </c>
      <c r="AI66" s="245">
        <f>'7'!D69</f>
        <v>0</v>
      </c>
      <c r="AJ66" s="245" t="s">
        <v>621</v>
      </c>
      <c r="AK66" s="256" t="s">
        <v>621</v>
      </c>
      <c r="AL66" s="245" t="s">
        <v>621</v>
      </c>
      <c r="AM66" s="241">
        <f>'7'!J69</f>
        <v>23</v>
      </c>
    </row>
    <row r="67" spans="1:40" s="346" customFormat="1" ht="40.5" x14ac:dyDescent="0.25">
      <c r="A67" s="153" t="s">
        <v>919</v>
      </c>
      <c r="B67" s="154" t="s">
        <v>917</v>
      </c>
      <c r="C67" s="911" t="s">
        <v>1073</v>
      </c>
      <c r="D67" s="911" t="s">
        <v>621</v>
      </c>
      <c r="E67" s="245" t="s">
        <v>621</v>
      </c>
      <c r="F67" s="245" t="s">
        <v>621</v>
      </c>
      <c r="G67" s="245" t="s">
        <v>621</v>
      </c>
      <c r="H67" s="245" t="s">
        <v>621</v>
      </c>
      <c r="I67" s="245" t="s">
        <v>621</v>
      </c>
      <c r="J67" s="245">
        <f>'7'!AF70</f>
        <v>0</v>
      </c>
      <c r="K67" s="245" t="s">
        <v>621</v>
      </c>
      <c r="L67" s="256" t="s">
        <v>621</v>
      </c>
      <c r="M67" s="245" t="s">
        <v>621</v>
      </c>
      <c r="N67" s="245">
        <f>'7'!AL70</f>
        <v>0</v>
      </c>
      <c r="O67" s="245">
        <f>'7'!AT70</f>
        <v>0</v>
      </c>
      <c r="P67" s="245" t="s">
        <v>621</v>
      </c>
      <c r="Q67" s="245" t="s">
        <v>621</v>
      </c>
      <c r="R67" s="245" t="s">
        <v>621</v>
      </c>
      <c r="S67" s="245">
        <f>'7'!AZ70</f>
        <v>0</v>
      </c>
      <c r="T67" s="245">
        <f>'7'!BH70</f>
        <v>0</v>
      </c>
      <c r="U67" s="245" t="s">
        <v>621</v>
      </c>
      <c r="V67" s="245" t="s">
        <v>621</v>
      </c>
      <c r="W67" s="245" t="s">
        <v>621</v>
      </c>
      <c r="X67" s="245">
        <f>'7'!BN70</f>
        <v>0</v>
      </c>
      <c r="Y67" s="245">
        <f>'7'!BV70</f>
        <v>0</v>
      </c>
      <c r="Z67" s="245" t="s">
        <v>621</v>
      </c>
      <c r="AA67" s="245" t="s">
        <v>621</v>
      </c>
      <c r="AB67" s="245" t="s">
        <v>621</v>
      </c>
      <c r="AC67" s="245" t="s">
        <v>621</v>
      </c>
      <c r="AD67" s="245" t="s">
        <v>621</v>
      </c>
      <c r="AE67" s="245" t="s">
        <v>621</v>
      </c>
      <c r="AF67" s="245" t="s">
        <v>621</v>
      </c>
      <c r="AG67" s="245" t="s">
        <v>621</v>
      </c>
      <c r="AH67" s="245">
        <f>'7'!CP70</f>
        <v>13</v>
      </c>
      <c r="AI67" s="245">
        <f>'7'!D70</f>
        <v>0</v>
      </c>
      <c r="AJ67" s="245" t="s">
        <v>621</v>
      </c>
      <c r="AK67" s="245" t="s">
        <v>621</v>
      </c>
      <c r="AL67" s="245" t="s">
        <v>621</v>
      </c>
      <c r="AM67" s="241">
        <f>'7'!J70</f>
        <v>13</v>
      </c>
    </row>
    <row r="68" spans="1:40" s="993" customFormat="1" ht="40.5" x14ac:dyDescent="0.25">
      <c r="A68" s="153" t="s">
        <v>920</v>
      </c>
      <c r="B68" s="991" t="s">
        <v>1717</v>
      </c>
      <c r="C68" s="630" t="s">
        <v>1735</v>
      </c>
      <c r="D68" s="992" t="s">
        <v>621</v>
      </c>
      <c r="E68" s="245" t="s">
        <v>621</v>
      </c>
      <c r="F68" s="245" t="s">
        <v>621</v>
      </c>
      <c r="G68" s="245" t="s">
        <v>621</v>
      </c>
      <c r="H68" s="245" t="s">
        <v>621</v>
      </c>
      <c r="I68" s="245" t="s">
        <v>621</v>
      </c>
      <c r="J68" s="245">
        <v>0</v>
      </c>
      <c r="K68" s="245" t="s">
        <v>621</v>
      </c>
      <c r="L68" s="256" t="s">
        <v>621</v>
      </c>
      <c r="M68" s="245" t="s">
        <v>621</v>
      </c>
      <c r="N68" s="245">
        <v>0</v>
      </c>
      <c r="O68" s="245">
        <v>0</v>
      </c>
      <c r="P68" s="245" t="s">
        <v>621</v>
      </c>
      <c r="Q68" s="245" t="s">
        <v>621</v>
      </c>
      <c r="R68" s="245" t="s">
        <v>621</v>
      </c>
      <c r="S68" s="245">
        <v>0</v>
      </c>
      <c r="T68" s="245">
        <v>0</v>
      </c>
      <c r="U68" s="245" t="s">
        <v>621</v>
      </c>
      <c r="V68" s="245" t="s">
        <v>621</v>
      </c>
      <c r="W68" s="245" t="s">
        <v>621</v>
      </c>
      <c r="X68" s="245">
        <v>11</v>
      </c>
      <c r="Y68" s="245">
        <v>0</v>
      </c>
      <c r="Z68" s="245" t="s">
        <v>621</v>
      </c>
      <c r="AA68" s="245" t="s">
        <v>621</v>
      </c>
      <c r="AB68" s="245" t="s">
        <v>621</v>
      </c>
      <c r="AC68" s="245" t="s">
        <v>621</v>
      </c>
      <c r="AD68" s="245" t="s">
        <v>621</v>
      </c>
      <c r="AE68" s="245" t="s">
        <v>621</v>
      </c>
      <c r="AF68" s="245" t="s">
        <v>621</v>
      </c>
      <c r="AG68" s="245" t="s">
        <v>621</v>
      </c>
      <c r="AH68" s="245">
        <v>0</v>
      </c>
      <c r="AI68" s="245">
        <v>0</v>
      </c>
      <c r="AJ68" s="245" t="s">
        <v>621</v>
      </c>
      <c r="AK68" s="245" t="s">
        <v>621</v>
      </c>
      <c r="AL68" s="245" t="s">
        <v>621</v>
      </c>
      <c r="AM68" s="241">
        <v>11</v>
      </c>
    </row>
    <row r="69" spans="1:40" s="312" customFormat="1" ht="40.5" x14ac:dyDescent="0.3">
      <c r="A69" s="153" t="s">
        <v>921</v>
      </c>
      <c r="B69" s="991" t="s">
        <v>1718</v>
      </c>
      <c r="C69" s="630" t="s">
        <v>1731</v>
      </c>
      <c r="D69" s="992" t="s">
        <v>621</v>
      </c>
      <c r="E69" s="245" t="s">
        <v>621</v>
      </c>
      <c r="F69" s="245" t="s">
        <v>621</v>
      </c>
      <c r="G69" s="245" t="s">
        <v>621</v>
      </c>
      <c r="H69" s="245" t="s">
        <v>621</v>
      </c>
      <c r="I69" s="245" t="s">
        <v>621</v>
      </c>
      <c r="J69" s="245" t="str">
        <f>'7'!AF73</f>
        <v>нд</v>
      </c>
      <c r="K69" s="245" t="s">
        <v>621</v>
      </c>
      <c r="L69" s="256" t="s">
        <v>621</v>
      </c>
      <c r="M69" s="245" t="s">
        <v>621</v>
      </c>
      <c r="N69" s="245" t="str">
        <f>'7'!AL73</f>
        <v>нд</v>
      </c>
      <c r="O69" s="241">
        <v>0</v>
      </c>
      <c r="P69" s="245" t="s">
        <v>621</v>
      </c>
      <c r="Q69" s="245" t="s">
        <v>621</v>
      </c>
      <c r="R69" s="245" t="s">
        <v>621</v>
      </c>
      <c r="S69" s="245">
        <v>0</v>
      </c>
      <c r="T69" s="245">
        <v>1.26</v>
      </c>
      <c r="U69" s="245" t="s">
        <v>621</v>
      </c>
      <c r="V69" s="245" t="s">
        <v>621</v>
      </c>
      <c r="W69" s="245" t="s">
        <v>621</v>
      </c>
      <c r="X69" s="245" t="str">
        <f>'7'!BN73</f>
        <v>нд</v>
      </c>
      <c r="Y69" s="245" t="str">
        <f>'7'!BV73</f>
        <v>нд</v>
      </c>
      <c r="Z69" s="245" t="s">
        <v>621</v>
      </c>
      <c r="AA69" s="245" t="s">
        <v>621</v>
      </c>
      <c r="AB69" s="245" t="s">
        <v>621</v>
      </c>
      <c r="AC69" s="245" t="s">
        <v>621</v>
      </c>
      <c r="AD69" s="245" t="s">
        <v>621</v>
      </c>
      <c r="AE69" s="245" t="s">
        <v>621</v>
      </c>
      <c r="AF69" s="245" t="s">
        <v>621</v>
      </c>
      <c r="AG69" s="245" t="s">
        <v>621</v>
      </c>
      <c r="AH69" s="241">
        <v>0</v>
      </c>
      <c r="AI69" s="241">
        <v>1.26</v>
      </c>
      <c r="AJ69" s="245" t="s">
        <v>621</v>
      </c>
      <c r="AK69" s="256" t="s">
        <v>621</v>
      </c>
      <c r="AL69" s="245" t="s">
        <v>621</v>
      </c>
      <c r="AM69" s="241" t="s">
        <v>621</v>
      </c>
    </row>
    <row r="70" spans="1:40" s="312" customFormat="1" ht="40.5" x14ac:dyDescent="0.45">
      <c r="A70" s="924" t="s">
        <v>741</v>
      </c>
      <c r="B70" s="939" t="s">
        <v>1653</v>
      </c>
      <c r="C70" s="940" t="s">
        <v>621</v>
      </c>
      <c r="D70" s="940" t="s">
        <v>621</v>
      </c>
      <c r="E70" s="920" t="s">
        <v>621</v>
      </c>
      <c r="F70" s="920" t="s">
        <v>621</v>
      </c>
      <c r="G70" s="920" t="s">
        <v>621</v>
      </c>
      <c r="H70" s="920" t="s">
        <v>621</v>
      </c>
      <c r="I70" s="920" t="s">
        <v>621</v>
      </c>
      <c r="J70" s="920" t="s">
        <v>621</v>
      </c>
      <c r="K70" s="920" t="s">
        <v>621</v>
      </c>
      <c r="L70" s="920" t="s">
        <v>621</v>
      </c>
      <c r="M70" s="920" t="s">
        <v>621</v>
      </c>
      <c r="N70" s="920" t="s">
        <v>621</v>
      </c>
      <c r="O70" s="920" t="s">
        <v>621</v>
      </c>
      <c r="P70" s="920" t="s">
        <v>621</v>
      </c>
      <c r="Q70" s="920" t="s">
        <v>621</v>
      </c>
      <c r="R70" s="920" t="s">
        <v>621</v>
      </c>
      <c r="S70" s="920" t="s">
        <v>621</v>
      </c>
      <c r="T70" s="920" t="s">
        <v>621</v>
      </c>
      <c r="U70" s="920" t="s">
        <v>621</v>
      </c>
      <c r="V70" s="920" t="s">
        <v>621</v>
      </c>
      <c r="W70" s="920" t="s">
        <v>621</v>
      </c>
      <c r="X70" s="920" t="s">
        <v>621</v>
      </c>
      <c r="Y70" s="920" t="s">
        <v>621</v>
      </c>
      <c r="Z70" s="920" t="s">
        <v>621</v>
      </c>
      <c r="AA70" s="920" t="s">
        <v>621</v>
      </c>
      <c r="AB70" s="920" t="s">
        <v>621</v>
      </c>
      <c r="AC70" s="920" t="s">
        <v>621</v>
      </c>
      <c r="AD70" s="920" t="s">
        <v>621</v>
      </c>
      <c r="AE70" s="920" t="s">
        <v>621</v>
      </c>
      <c r="AF70" s="920" t="s">
        <v>621</v>
      </c>
      <c r="AG70" s="920" t="s">
        <v>621</v>
      </c>
      <c r="AH70" s="920" t="s">
        <v>621</v>
      </c>
      <c r="AI70" s="920" t="s">
        <v>621</v>
      </c>
      <c r="AJ70" s="920" t="s">
        <v>621</v>
      </c>
      <c r="AK70" s="920" t="s">
        <v>621</v>
      </c>
      <c r="AL70" s="920" t="s">
        <v>621</v>
      </c>
      <c r="AM70" s="941" t="s">
        <v>621</v>
      </c>
      <c r="AN70" s="249"/>
    </row>
    <row r="71" spans="1:40" s="312" customFormat="1" ht="60.75" x14ac:dyDescent="0.3">
      <c r="A71" s="153" t="s">
        <v>741</v>
      </c>
      <c r="B71" s="670" t="s">
        <v>1654</v>
      </c>
      <c r="C71" s="930" t="str">
        <f>CONCATENATE("J","_",2021,"_",A71)</f>
        <v>J_2021_1.6</v>
      </c>
      <c r="D71" s="241" t="s">
        <v>621</v>
      </c>
      <c r="E71" s="241" t="s">
        <v>621</v>
      </c>
      <c r="F71" s="241" t="s">
        <v>621</v>
      </c>
      <c r="G71" s="241" t="s">
        <v>621</v>
      </c>
      <c r="H71" s="241" t="s">
        <v>621</v>
      </c>
      <c r="I71" s="241" t="s">
        <v>621</v>
      </c>
      <c r="J71" s="241" t="s">
        <v>621</v>
      </c>
      <c r="K71" s="241" t="s">
        <v>621</v>
      </c>
      <c r="L71" s="241" t="s">
        <v>621</v>
      </c>
      <c r="M71" s="241" t="s">
        <v>621</v>
      </c>
      <c r="N71" s="241" t="s">
        <v>621</v>
      </c>
      <c r="O71" s="241" t="s">
        <v>621</v>
      </c>
      <c r="P71" s="241" t="s">
        <v>621</v>
      </c>
      <c r="Q71" s="241" t="s">
        <v>621</v>
      </c>
      <c r="R71" s="241" t="s">
        <v>621</v>
      </c>
      <c r="S71" s="241" t="s">
        <v>621</v>
      </c>
      <c r="T71" s="241" t="s">
        <v>621</v>
      </c>
      <c r="U71" s="241" t="s">
        <v>621</v>
      </c>
      <c r="V71" s="241" t="s">
        <v>621</v>
      </c>
      <c r="W71" s="241" t="s">
        <v>621</v>
      </c>
      <c r="X71" s="241" t="s">
        <v>621</v>
      </c>
      <c r="Y71" s="241" t="s">
        <v>621</v>
      </c>
      <c r="Z71" s="241" t="s">
        <v>621</v>
      </c>
      <c r="AA71" s="241" t="s">
        <v>621</v>
      </c>
      <c r="AB71" s="241" t="s">
        <v>621</v>
      </c>
      <c r="AC71" s="241" t="s">
        <v>621</v>
      </c>
      <c r="AD71" s="241" t="s">
        <v>621</v>
      </c>
      <c r="AE71" s="241" t="s">
        <v>621</v>
      </c>
      <c r="AF71" s="241" t="s">
        <v>621</v>
      </c>
      <c r="AG71" s="241" t="s">
        <v>621</v>
      </c>
      <c r="AH71" s="241" t="s">
        <v>621</v>
      </c>
      <c r="AI71" s="241" t="s">
        <v>621</v>
      </c>
      <c r="AJ71" s="241" t="s">
        <v>621</v>
      </c>
      <c r="AK71" s="241" t="s">
        <v>621</v>
      </c>
      <c r="AL71" s="241" t="s">
        <v>621</v>
      </c>
      <c r="AM71" s="241" t="s">
        <v>621</v>
      </c>
    </row>
    <row r="74" spans="1:40" s="250" customFormat="1" ht="33" x14ac:dyDescent="0.45">
      <c r="B74" s="237" t="s">
        <v>1743</v>
      </c>
      <c r="C74" s="237"/>
      <c r="D74" s="237"/>
      <c r="E74" s="237"/>
      <c r="F74" s="237"/>
      <c r="G74" s="237"/>
      <c r="I74" s="237"/>
      <c r="AA74" s="237" t="s">
        <v>1652</v>
      </c>
    </row>
  </sheetData>
  <mergeCells count="25">
    <mergeCell ref="E13:I13"/>
    <mergeCell ref="Y12:AC12"/>
    <mergeCell ref="E11:I12"/>
    <mergeCell ref="A7:AM7"/>
    <mergeCell ref="A8:AM8"/>
    <mergeCell ref="A9:AM9"/>
    <mergeCell ref="J12:N12"/>
    <mergeCell ref="O12:S12"/>
    <mergeCell ref="T12:X12"/>
    <mergeCell ref="A4:AM4"/>
    <mergeCell ref="D11:D14"/>
    <mergeCell ref="C11:C14"/>
    <mergeCell ref="B11:B14"/>
    <mergeCell ref="A11:A14"/>
    <mergeCell ref="AI12:AM12"/>
    <mergeCell ref="J13:N13"/>
    <mergeCell ref="AI13:AM13"/>
    <mergeCell ref="A10:X10"/>
    <mergeCell ref="O13:S13"/>
    <mergeCell ref="T13:X13"/>
    <mergeCell ref="J11:AM11"/>
    <mergeCell ref="AD12:AH12"/>
    <mergeCell ref="Y13:AC13"/>
    <mergeCell ref="AD13:AH13"/>
    <mergeCell ref="A6:AM6"/>
  </mergeCells>
  <pageMargins left="0.70866141732283472" right="0.31496062992125984" top="0.35433070866141736" bottom="0.35433070866141736" header="0.31496062992125984" footer="0.31496062992125984"/>
  <pageSetup paperSize="8" scale="43" fitToHeight="3"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W84"/>
  <sheetViews>
    <sheetView view="pageBreakPreview" zoomScale="40" zoomScaleNormal="55" zoomScaleSheetLayoutView="40" workbookViewId="0">
      <selection activeCell="B15" sqref="B15:B18"/>
    </sheetView>
  </sheetViews>
  <sheetFormatPr defaultRowHeight="20.25" x14ac:dyDescent="0.3"/>
  <cols>
    <col min="1" max="1" width="24.875" style="133" customWidth="1"/>
    <col min="2" max="2" width="152.375" style="133" customWidth="1"/>
    <col min="3" max="3" width="33.25" style="133" customWidth="1"/>
    <col min="4" max="4" width="28.125" style="133" customWidth="1"/>
    <col min="5" max="6" width="29.625" style="133" customWidth="1"/>
    <col min="7" max="9" width="32.25" style="133" customWidth="1"/>
    <col min="10" max="10" width="32.125" style="133" customWidth="1"/>
    <col min="11" max="11" width="19.875" style="133" customWidth="1"/>
    <col min="12" max="12" width="4.625" style="133" customWidth="1"/>
    <col min="13" max="13" width="4.375" style="133" customWidth="1"/>
    <col min="14" max="15" width="3.375" style="133" customWidth="1"/>
    <col min="16" max="16" width="4.125" style="133" customWidth="1"/>
    <col min="17" max="19" width="5.75" style="133" customWidth="1"/>
    <col min="20" max="20" width="3.875" style="133" customWidth="1"/>
    <col min="21" max="21" width="4.5" style="133" customWidth="1"/>
    <col min="22" max="22" width="3.875" style="133" customWidth="1"/>
    <col min="23" max="23" width="4.375" style="133" customWidth="1"/>
    <col min="24" max="26" width="5.75" style="133" customWidth="1"/>
    <col min="27" max="27" width="6.125" style="133" customWidth="1"/>
    <col min="28" max="28" width="5.75" style="133" customWidth="1"/>
    <col min="29" max="29" width="6.5" style="133" customWidth="1"/>
    <col min="30" max="30" width="3.5" style="133" customWidth="1"/>
    <col min="31" max="31" width="5.75" style="133" customWidth="1"/>
    <col min="32" max="32" width="16.125" style="133" customWidth="1"/>
    <col min="33" max="33" width="21.25" style="133" customWidth="1"/>
    <col min="34" max="34" width="12.625" style="133" customWidth="1"/>
    <col min="35" max="35" width="22.375" style="133" customWidth="1"/>
    <col min="36" max="36" width="10.875" style="133" customWidth="1"/>
    <col min="37" max="37" width="17.375" style="133" customWidth="1"/>
    <col min="38" max="39" width="4.125" style="133" customWidth="1"/>
    <col min="40" max="40" width="3.75" style="133" customWidth="1"/>
    <col min="41" max="41" width="3.875" style="133" customWidth="1"/>
    <col min="42" max="42" width="4.5" style="133" customWidth="1"/>
    <col min="43" max="43" width="5" style="133" customWidth="1"/>
    <col min="44" max="44" width="5.5" style="133" customWidth="1"/>
    <col min="45" max="45" width="5.75" style="133" customWidth="1"/>
    <col min="46" max="46" width="5.5" style="133" customWidth="1"/>
    <col min="47" max="48" width="5" style="133" customWidth="1"/>
    <col min="49" max="49" width="12.875" style="133" customWidth="1"/>
    <col min="50" max="59" width="5" style="133" customWidth="1"/>
    <col min="60" max="16384" width="9" style="133"/>
  </cols>
  <sheetData>
    <row r="1" spans="1:49" x14ac:dyDescent="0.3">
      <c r="K1" s="138" t="s">
        <v>352</v>
      </c>
      <c r="L1" s="132"/>
      <c r="M1" s="132"/>
      <c r="N1" s="132"/>
      <c r="O1" s="132"/>
      <c r="P1" s="132"/>
      <c r="Q1" s="132"/>
    </row>
    <row r="2" spans="1:49" x14ac:dyDescent="0.3">
      <c r="K2" s="140" t="s">
        <v>1</v>
      </c>
      <c r="L2" s="132"/>
      <c r="M2" s="132"/>
      <c r="N2" s="132"/>
      <c r="O2" s="132"/>
      <c r="P2" s="132"/>
      <c r="Q2" s="132"/>
    </row>
    <row r="3" spans="1:49" x14ac:dyDescent="0.3">
      <c r="K3" s="140" t="s">
        <v>265</v>
      </c>
      <c r="L3" s="132"/>
      <c r="M3" s="132"/>
      <c r="N3" s="132"/>
      <c r="O3" s="132"/>
      <c r="P3" s="132"/>
      <c r="Q3" s="132"/>
    </row>
    <row r="4" spans="1:49" x14ac:dyDescent="0.3">
      <c r="A4" s="1250" t="s">
        <v>399</v>
      </c>
      <c r="B4" s="1250"/>
      <c r="C4" s="1250"/>
      <c r="D4" s="1250"/>
      <c r="E4" s="1250"/>
      <c r="F4" s="1250"/>
      <c r="G4" s="1250"/>
      <c r="H4" s="1250"/>
      <c r="I4" s="1250"/>
      <c r="J4" s="1250"/>
      <c r="K4" s="1250"/>
      <c r="L4" s="132"/>
      <c r="M4" s="132"/>
      <c r="N4" s="132"/>
      <c r="O4" s="132"/>
      <c r="P4" s="132"/>
      <c r="Q4" s="132"/>
    </row>
    <row r="5" spans="1:49" x14ac:dyDescent="0.3">
      <c r="L5" s="132"/>
      <c r="M5" s="132"/>
      <c r="N5" s="132"/>
      <c r="O5" s="132"/>
      <c r="P5" s="132"/>
      <c r="Q5" s="132"/>
    </row>
    <row r="6" spans="1:49" s="129" customFormat="1" ht="21.75" customHeight="1" x14ac:dyDescent="0.3">
      <c r="A6" s="1158" t="s">
        <v>842</v>
      </c>
      <c r="B6" s="1158"/>
      <c r="C6" s="1158"/>
      <c r="D6" s="1158"/>
      <c r="E6" s="1158"/>
      <c r="F6" s="1158"/>
      <c r="G6" s="1158"/>
      <c r="H6" s="1158"/>
      <c r="I6" s="1158"/>
      <c r="J6" s="1158"/>
      <c r="K6" s="1158"/>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row>
    <row r="7" spans="1:49" s="129" customFormat="1" ht="15.75" customHeight="1" x14ac:dyDescent="0.3">
      <c r="A7" s="1159" t="s">
        <v>313</v>
      </c>
      <c r="B7" s="1159"/>
      <c r="C7" s="1159"/>
      <c r="D7" s="1159"/>
      <c r="E7" s="1159"/>
      <c r="F7" s="1159"/>
      <c r="G7" s="1159"/>
      <c r="H7" s="1159"/>
      <c r="I7" s="1159"/>
      <c r="J7" s="1159"/>
      <c r="K7" s="1159"/>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row>
    <row r="8" spans="1:49" s="129" customFormat="1" x14ac:dyDescent="0.3">
      <c r="A8" s="1158" t="s">
        <v>1697</v>
      </c>
      <c r="B8" s="1158"/>
      <c r="C8" s="1158"/>
      <c r="D8" s="1158"/>
      <c r="E8" s="1158"/>
      <c r="F8" s="1158"/>
      <c r="G8" s="1158"/>
      <c r="H8" s="1158"/>
      <c r="I8" s="1158"/>
      <c r="J8" s="1158"/>
      <c r="K8" s="1158"/>
    </row>
    <row r="9" spans="1:49" s="129" customFormat="1" ht="16.5" customHeight="1" x14ac:dyDescent="0.3">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row>
    <row r="10" spans="1:49" x14ac:dyDescent="0.3">
      <c r="A10" s="201"/>
      <c r="B10" s="201"/>
      <c r="C10" s="201"/>
      <c r="D10" s="201"/>
      <c r="E10" s="201"/>
      <c r="F10" s="201"/>
      <c r="G10" s="201"/>
      <c r="H10" s="201"/>
      <c r="I10" s="201"/>
      <c r="J10" s="201"/>
      <c r="K10" s="201"/>
      <c r="L10" s="132"/>
      <c r="M10" s="132"/>
      <c r="N10" s="132"/>
      <c r="O10" s="132"/>
      <c r="P10" s="132"/>
      <c r="Q10" s="132"/>
    </row>
    <row r="11" spans="1:49" ht="16.5" customHeight="1" x14ac:dyDescent="0.3">
      <c r="A11" s="1219" t="s">
        <v>668</v>
      </c>
      <c r="B11" s="1219"/>
      <c r="C11" s="1219"/>
      <c r="D11" s="1219"/>
      <c r="E11" s="1219"/>
      <c r="F11" s="1219"/>
      <c r="G11" s="1219"/>
      <c r="H11" s="1219"/>
      <c r="I11" s="1219"/>
      <c r="J11" s="1219"/>
      <c r="K11" s="1219"/>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row>
    <row r="12" spans="1:49" ht="16.5" customHeight="1" x14ac:dyDescent="0.3">
      <c r="A12" s="1219" t="s">
        <v>667</v>
      </c>
      <c r="B12" s="1219"/>
      <c r="C12" s="1219"/>
      <c r="D12" s="1219"/>
      <c r="E12" s="1219"/>
      <c r="F12" s="1219"/>
      <c r="G12" s="1219"/>
      <c r="H12" s="1219"/>
      <c r="I12" s="1219"/>
      <c r="J12" s="1219"/>
      <c r="K12" s="1219"/>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row>
    <row r="13" spans="1:49" ht="24.75" customHeight="1" x14ac:dyDescent="0.3">
      <c r="A13" s="1251" t="s">
        <v>317</v>
      </c>
      <c r="B13" s="1251"/>
      <c r="C13" s="1251"/>
      <c r="D13" s="1251"/>
      <c r="E13" s="1251"/>
      <c r="F13" s="1251"/>
      <c r="G13" s="1251"/>
      <c r="H13" s="1251"/>
      <c r="I13" s="1251"/>
      <c r="J13" s="1251"/>
      <c r="K13" s="1251"/>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row>
    <row r="14" spans="1:49" x14ac:dyDescent="0.3">
      <c r="A14" s="1243"/>
      <c r="B14" s="1243"/>
      <c r="C14" s="1243"/>
      <c r="D14" s="1243"/>
      <c r="E14" s="1243"/>
      <c r="F14" s="1243"/>
      <c r="G14" s="1243"/>
      <c r="H14" s="1243"/>
      <c r="I14" s="1243"/>
      <c r="J14" s="1243"/>
      <c r="K14" s="188"/>
      <c r="L14" s="188"/>
      <c r="M14" s="188"/>
      <c r="N14" s="188"/>
      <c r="O14" s="188"/>
      <c r="P14" s="188"/>
      <c r="Q14" s="188"/>
      <c r="R14" s="188"/>
      <c r="S14" s="188"/>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row>
    <row r="15" spans="1:49" x14ac:dyDescent="0.3">
      <c r="A15" s="1210" t="s">
        <v>179</v>
      </c>
      <c r="B15" s="1210" t="s">
        <v>31</v>
      </c>
      <c r="C15" s="1210" t="s">
        <v>318</v>
      </c>
      <c r="D15" s="1210" t="s">
        <v>149</v>
      </c>
      <c r="E15" s="1210"/>
      <c r="F15" s="1210"/>
      <c r="G15" s="1210"/>
      <c r="H15" s="1210"/>
      <c r="I15" s="1210"/>
      <c r="J15" s="1210"/>
      <c r="K15" s="1167" t="s">
        <v>23</v>
      </c>
      <c r="L15" s="202"/>
      <c r="M15" s="202"/>
      <c r="N15" s="202"/>
      <c r="O15" s="202"/>
      <c r="P15" s="202"/>
      <c r="Q15" s="202"/>
      <c r="R15" s="202"/>
      <c r="S15" s="20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row>
    <row r="16" spans="1:49" x14ac:dyDescent="0.3">
      <c r="A16" s="1210"/>
      <c r="B16" s="1210"/>
      <c r="C16" s="1210"/>
      <c r="D16" s="1210"/>
      <c r="E16" s="1210"/>
      <c r="F16" s="1210"/>
      <c r="G16" s="1210"/>
      <c r="H16" s="1210"/>
      <c r="I16" s="1210"/>
      <c r="J16" s="1210"/>
      <c r="K16" s="1167"/>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row>
    <row r="17" spans="1:41" x14ac:dyDescent="0.3">
      <c r="A17" s="1210"/>
      <c r="B17" s="1210"/>
      <c r="C17" s="1210"/>
      <c r="D17" s="1210" t="s">
        <v>316</v>
      </c>
      <c r="E17" s="1210"/>
      <c r="F17" s="1210"/>
      <c r="G17" s="1210" t="s">
        <v>316</v>
      </c>
      <c r="H17" s="1210"/>
      <c r="I17" s="1210"/>
      <c r="J17" s="646" t="s">
        <v>0</v>
      </c>
      <c r="K17" s="1167"/>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row>
    <row r="18" spans="1:41" ht="81" x14ac:dyDescent="0.3">
      <c r="A18" s="1210"/>
      <c r="B18" s="1210"/>
      <c r="C18" s="1210"/>
      <c r="D18" s="646" t="s">
        <v>319</v>
      </c>
      <c r="E18" s="646" t="s">
        <v>319</v>
      </c>
      <c r="F18" s="646" t="s">
        <v>0</v>
      </c>
      <c r="G18" s="646" t="s">
        <v>319</v>
      </c>
      <c r="H18" s="646" t="s">
        <v>319</v>
      </c>
      <c r="I18" s="203" t="s">
        <v>0</v>
      </c>
      <c r="J18" s="203" t="s">
        <v>0</v>
      </c>
      <c r="K18" s="1167"/>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row>
    <row r="19" spans="1:41" ht="21" x14ac:dyDescent="0.3">
      <c r="A19" s="204">
        <v>1</v>
      </c>
      <c r="B19" s="204">
        <v>2</v>
      </c>
      <c r="C19" s="204">
        <v>3</v>
      </c>
      <c r="D19" s="205" t="s">
        <v>108</v>
      </c>
      <c r="E19" s="205" t="s">
        <v>109</v>
      </c>
      <c r="F19" s="205" t="s">
        <v>320</v>
      </c>
      <c r="G19" s="205" t="s">
        <v>189</v>
      </c>
      <c r="H19" s="205" t="s">
        <v>190</v>
      </c>
      <c r="I19" s="205" t="s">
        <v>321</v>
      </c>
      <c r="J19" s="205" t="s">
        <v>173</v>
      </c>
      <c r="K19" s="205" t="s">
        <v>99</v>
      </c>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row>
    <row r="20" spans="1:41" x14ac:dyDescent="0.3">
      <c r="A20" s="206"/>
      <c r="B20" s="642"/>
      <c r="C20" s="208"/>
      <c r="D20" s="208"/>
      <c r="E20" s="208"/>
      <c r="F20" s="208"/>
      <c r="G20" s="208"/>
      <c r="H20" s="208"/>
      <c r="I20" s="208"/>
      <c r="J20" s="208"/>
      <c r="K20" s="208"/>
    </row>
    <row r="21" spans="1:41" ht="30" x14ac:dyDescent="0.3">
      <c r="A21" s="266" t="s">
        <v>711</v>
      </c>
      <c r="B21" s="267" t="s">
        <v>684</v>
      </c>
      <c r="C21" s="266" t="s">
        <v>621</v>
      </c>
      <c r="D21" s="267" t="s">
        <v>621</v>
      </c>
      <c r="E21" s="266" t="s">
        <v>621</v>
      </c>
      <c r="F21" s="267" t="s">
        <v>621</v>
      </c>
      <c r="G21" s="266" t="s">
        <v>621</v>
      </c>
      <c r="H21" s="267" t="s">
        <v>621</v>
      </c>
      <c r="I21" s="266" t="s">
        <v>621</v>
      </c>
      <c r="J21" s="267" t="s">
        <v>621</v>
      </c>
      <c r="K21" s="266" t="s">
        <v>621</v>
      </c>
    </row>
    <row r="22" spans="1:41" ht="30" x14ac:dyDescent="0.3">
      <c r="A22" s="268" t="s">
        <v>713</v>
      </c>
      <c r="B22" s="269" t="s">
        <v>686</v>
      </c>
      <c r="C22" s="268" t="s">
        <v>621</v>
      </c>
      <c r="D22" s="269" t="s">
        <v>621</v>
      </c>
      <c r="E22" s="268" t="s">
        <v>621</v>
      </c>
      <c r="F22" s="269" t="s">
        <v>621</v>
      </c>
      <c r="G22" s="268" t="s">
        <v>621</v>
      </c>
      <c r="H22" s="269" t="s">
        <v>621</v>
      </c>
      <c r="I22" s="268" t="s">
        <v>621</v>
      </c>
      <c r="J22" s="269" t="s">
        <v>621</v>
      </c>
      <c r="K22" s="268" t="s">
        <v>621</v>
      </c>
    </row>
    <row r="23" spans="1:41" ht="30.75" x14ac:dyDescent="0.3">
      <c r="A23" s="316" t="s">
        <v>537</v>
      </c>
      <c r="B23" s="317" t="s">
        <v>691</v>
      </c>
      <c r="C23" s="316" t="s">
        <v>621</v>
      </c>
      <c r="D23" s="317" t="s">
        <v>621</v>
      </c>
      <c r="E23" s="316" t="s">
        <v>621</v>
      </c>
      <c r="F23" s="317" t="s">
        <v>621</v>
      </c>
      <c r="G23" s="316" t="s">
        <v>621</v>
      </c>
      <c r="H23" s="317" t="s">
        <v>621</v>
      </c>
      <c r="I23" s="316" t="s">
        <v>621</v>
      </c>
      <c r="J23" s="317" t="s">
        <v>621</v>
      </c>
      <c r="K23" s="316" t="s">
        <v>621</v>
      </c>
    </row>
    <row r="24" spans="1:41" ht="61.5" x14ac:dyDescent="0.3">
      <c r="A24" s="270" t="s">
        <v>545</v>
      </c>
      <c r="B24" s="271" t="s">
        <v>697</v>
      </c>
      <c r="C24" s="270" t="s">
        <v>621</v>
      </c>
      <c r="D24" s="271" t="s">
        <v>621</v>
      </c>
      <c r="E24" s="270" t="s">
        <v>621</v>
      </c>
      <c r="F24" s="271" t="s">
        <v>621</v>
      </c>
      <c r="G24" s="270" t="s">
        <v>621</v>
      </c>
      <c r="H24" s="271" t="s">
        <v>621</v>
      </c>
      <c r="I24" s="270" t="s">
        <v>621</v>
      </c>
      <c r="J24" s="271" t="s">
        <v>621</v>
      </c>
      <c r="K24" s="270" t="s">
        <v>621</v>
      </c>
    </row>
    <row r="25" spans="1:41" ht="30.75" x14ac:dyDescent="0.3">
      <c r="A25" s="316" t="s">
        <v>595</v>
      </c>
      <c r="B25" s="317" t="s">
        <v>746</v>
      </c>
      <c r="C25" s="316" t="s">
        <v>621</v>
      </c>
      <c r="D25" s="317" t="s">
        <v>621</v>
      </c>
      <c r="E25" s="316" t="s">
        <v>621</v>
      </c>
      <c r="F25" s="317" t="s">
        <v>621</v>
      </c>
      <c r="G25" s="316" t="s">
        <v>621</v>
      </c>
      <c r="H25" s="317" t="s">
        <v>621</v>
      </c>
      <c r="I25" s="316" t="s">
        <v>621</v>
      </c>
      <c r="J25" s="317" t="s">
        <v>621</v>
      </c>
      <c r="K25" s="316" t="s">
        <v>621</v>
      </c>
    </row>
    <row r="26" spans="1:41" s="311" customFormat="1" ht="61.5" x14ac:dyDescent="0.3">
      <c r="A26" s="316" t="s">
        <v>814</v>
      </c>
      <c r="B26" s="317" t="s">
        <v>815</v>
      </c>
      <c r="C26" s="316" t="s">
        <v>1044</v>
      </c>
      <c r="D26" s="317" t="s">
        <v>621</v>
      </c>
      <c r="E26" s="316" t="s">
        <v>621</v>
      </c>
      <c r="F26" s="317" t="s">
        <v>621</v>
      </c>
      <c r="G26" s="316" t="s">
        <v>621</v>
      </c>
      <c r="H26" s="317" t="s">
        <v>621</v>
      </c>
      <c r="I26" s="316" t="s">
        <v>621</v>
      </c>
      <c r="J26" s="317" t="s">
        <v>621</v>
      </c>
      <c r="K26" s="316" t="s">
        <v>621</v>
      </c>
    </row>
    <row r="27" spans="1:41" s="311" customFormat="1" ht="61.5" x14ac:dyDescent="0.3">
      <c r="A27" s="316" t="s">
        <v>813</v>
      </c>
      <c r="B27" s="317" t="s">
        <v>859</v>
      </c>
      <c r="C27" s="316" t="s">
        <v>1045</v>
      </c>
      <c r="D27" s="317" t="s">
        <v>621</v>
      </c>
      <c r="E27" s="316" t="s">
        <v>621</v>
      </c>
      <c r="F27" s="317" t="s">
        <v>621</v>
      </c>
      <c r="G27" s="316" t="s">
        <v>621</v>
      </c>
      <c r="H27" s="317" t="s">
        <v>621</v>
      </c>
      <c r="I27" s="316" t="s">
        <v>621</v>
      </c>
      <c r="J27" s="317" t="s">
        <v>621</v>
      </c>
      <c r="K27" s="316" t="s">
        <v>621</v>
      </c>
    </row>
    <row r="28" spans="1:41" s="311" customFormat="1" ht="92.25" x14ac:dyDescent="0.3">
      <c r="A28" s="316" t="s">
        <v>817</v>
      </c>
      <c r="B28" s="317" t="s">
        <v>934</v>
      </c>
      <c r="C28" s="316" t="s">
        <v>1046</v>
      </c>
      <c r="D28" s="317" t="s">
        <v>621</v>
      </c>
      <c r="E28" s="316" t="s">
        <v>621</v>
      </c>
      <c r="F28" s="317" t="s">
        <v>621</v>
      </c>
      <c r="G28" s="316" t="s">
        <v>621</v>
      </c>
      <c r="H28" s="317" t="s">
        <v>621</v>
      </c>
      <c r="I28" s="316" t="s">
        <v>621</v>
      </c>
      <c r="J28" s="317" t="s">
        <v>621</v>
      </c>
      <c r="K28" s="316" t="s">
        <v>621</v>
      </c>
    </row>
    <row r="29" spans="1:41" s="311" customFormat="1" ht="92.25" x14ac:dyDescent="0.3">
      <c r="A29" s="316" t="s">
        <v>819</v>
      </c>
      <c r="B29" s="317" t="s">
        <v>816</v>
      </c>
      <c r="C29" s="316" t="s">
        <v>1047</v>
      </c>
      <c r="D29" s="317" t="s">
        <v>621</v>
      </c>
      <c r="E29" s="316" t="s">
        <v>621</v>
      </c>
      <c r="F29" s="317" t="s">
        <v>621</v>
      </c>
      <c r="G29" s="316" t="s">
        <v>621</v>
      </c>
      <c r="H29" s="317" t="s">
        <v>621</v>
      </c>
      <c r="I29" s="316" t="s">
        <v>621</v>
      </c>
      <c r="J29" s="317" t="s">
        <v>621</v>
      </c>
      <c r="K29" s="316" t="s">
        <v>621</v>
      </c>
    </row>
    <row r="30" spans="1:41" s="311" customFormat="1" ht="92.25" x14ac:dyDescent="0.3">
      <c r="A30" s="316" t="s">
        <v>820</v>
      </c>
      <c r="B30" s="317" t="s">
        <v>903</v>
      </c>
      <c r="C30" s="316" t="s">
        <v>1048</v>
      </c>
      <c r="D30" s="317" t="s">
        <v>621</v>
      </c>
      <c r="E30" s="316" t="s">
        <v>621</v>
      </c>
      <c r="F30" s="317" t="s">
        <v>621</v>
      </c>
      <c r="G30" s="316" t="s">
        <v>621</v>
      </c>
      <c r="H30" s="317" t="s">
        <v>621</v>
      </c>
      <c r="I30" s="316" t="s">
        <v>621</v>
      </c>
      <c r="J30" s="317" t="s">
        <v>621</v>
      </c>
      <c r="K30" s="316" t="s">
        <v>621</v>
      </c>
    </row>
    <row r="31" spans="1:41" s="311" customFormat="1" ht="30.75" x14ac:dyDescent="0.3">
      <c r="A31" s="316" t="s">
        <v>863</v>
      </c>
      <c r="B31" s="317" t="s">
        <v>915</v>
      </c>
      <c r="C31" s="316" t="s">
        <v>1049</v>
      </c>
      <c r="D31" s="317" t="s">
        <v>621</v>
      </c>
      <c r="E31" s="316" t="s">
        <v>621</v>
      </c>
      <c r="F31" s="317" t="s">
        <v>621</v>
      </c>
      <c r="G31" s="316" t="s">
        <v>621</v>
      </c>
      <c r="H31" s="317" t="s">
        <v>621</v>
      </c>
      <c r="I31" s="316" t="s">
        <v>621</v>
      </c>
      <c r="J31" s="317" t="s">
        <v>621</v>
      </c>
      <c r="K31" s="316" t="s">
        <v>621</v>
      </c>
    </row>
    <row r="32" spans="1:41" s="311" customFormat="1" ht="61.5" x14ac:dyDescent="0.3">
      <c r="A32" s="316" t="s">
        <v>864</v>
      </c>
      <c r="B32" s="317" t="s">
        <v>818</v>
      </c>
      <c r="C32" s="316" t="s">
        <v>1050</v>
      </c>
      <c r="D32" s="317" t="s">
        <v>621</v>
      </c>
      <c r="E32" s="316" t="s">
        <v>621</v>
      </c>
      <c r="F32" s="317" t="s">
        <v>621</v>
      </c>
      <c r="G32" s="316" t="s">
        <v>621</v>
      </c>
      <c r="H32" s="317" t="s">
        <v>621</v>
      </c>
      <c r="I32" s="316" t="s">
        <v>621</v>
      </c>
      <c r="J32" s="317" t="s">
        <v>621</v>
      </c>
      <c r="K32" s="316" t="s">
        <v>621</v>
      </c>
    </row>
    <row r="33" spans="1:11" s="311" customFormat="1" ht="61.5" x14ac:dyDescent="0.3">
      <c r="A33" s="316" t="s">
        <v>868</v>
      </c>
      <c r="B33" s="317" t="s">
        <v>870</v>
      </c>
      <c r="C33" s="316" t="s">
        <v>1051</v>
      </c>
      <c r="D33" s="317" t="s">
        <v>621</v>
      </c>
      <c r="E33" s="316" t="s">
        <v>621</v>
      </c>
      <c r="F33" s="317" t="s">
        <v>621</v>
      </c>
      <c r="G33" s="316" t="s">
        <v>621</v>
      </c>
      <c r="H33" s="317" t="s">
        <v>621</v>
      </c>
      <c r="I33" s="316" t="s">
        <v>621</v>
      </c>
      <c r="J33" s="317" t="s">
        <v>621</v>
      </c>
      <c r="K33" s="316" t="s">
        <v>621</v>
      </c>
    </row>
    <row r="34" spans="1:11" s="311" customFormat="1" ht="123" x14ac:dyDescent="0.3">
      <c r="A34" s="316" t="s">
        <v>869</v>
      </c>
      <c r="B34" s="317" t="s">
        <v>876</v>
      </c>
      <c r="C34" s="316" t="s">
        <v>1052</v>
      </c>
      <c r="D34" s="317" t="s">
        <v>621</v>
      </c>
      <c r="E34" s="316" t="s">
        <v>621</v>
      </c>
      <c r="F34" s="317" t="s">
        <v>621</v>
      </c>
      <c r="G34" s="316" t="s">
        <v>621</v>
      </c>
      <c r="H34" s="317" t="s">
        <v>621</v>
      </c>
      <c r="I34" s="316" t="s">
        <v>621</v>
      </c>
      <c r="J34" s="317" t="s">
        <v>621</v>
      </c>
      <c r="K34" s="316" t="s">
        <v>621</v>
      </c>
    </row>
    <row r="35" spans="1:11" s="311" customFormat="1" ht="30.75" x14ac:dyDescent="0.3">
      <c r="A35" s="316" t="s">
        <v>874</v>
      </c>
      <c r="B35" s="317" t="s">
        <v>821</v>
      </c>
      <c r="C35" s="316" t="s">
        <v>1053</v>
      </c>
      <c r="D35" s="317" t="s">
        <v>621</v>
      </c>
      <c r="E35" s="316" t="s">
        <v>621</v>
      </c>
      <c r="F35" s="317" t="s">
        <v>621</v>
      </c>
      <c r="G35" s="316" t="s">
        <v>621</v>
      </c>
      <c r="H35" s="317" t="s">
        <v>621</v>
      </c>
      <c r="I35" s="316" t="s">
        <v>621</v>
      </c>
      <c r="J35" s="317" t="s">
        <v>621</v>
      </c>
      <c r="K35" s="316" t="s">
        <v>621</v>
      </c>
    </row>
    <row r="36" spans="1:11" s="311" customFormat="1" ht="61.5" x14ac:dyDescent="0.3">
      <c r="A36" s="316" t="s">
        <v>875</v>
      </c>
      <c r="B36" s="317" t="s">
        <v>1042</v>
      </c>
      <c r="C36" s="316" t="s">
        <v>1054</v>
      </c>
      <c r="D36" s="317" t="s">
        <v>621</v>
      </c>
      <c r="E36" s="316" t="s">
        <v>621</v>
      </c>
      <c r="F36" s="317" t="s">
        <v>621</v>
      </c>
      <c r="G36" s="316" t="s">
        <v>621</v>
      </c>
      <c r="H36" s="317" t="s">
        <v>621</v>
      </c>
      <c r="I36" s="316" t="s">
        <v>621</v>
      </c>
      <c r="J36" s="317" t="s">
        <v>621</v>
      </c>
      <c r="K36" s="316" t="s">
        <v>621</v>
      </c>
    </row>
    <row r="37" spans="1:11" s="311" customFormat="1" ht="30.75" x14ac:dyDescent="0.3">
      <c r="A37" s="316" t="s">
        <v>884</v>
      </c>
      <c r="B37" s="317" t="s">
        <v>901</v>
      </c>
      <c r="C37" s="316" t="s">
        <v>1055</v>
      </c>
      <c r="D37" s="317" t="s">
        <v>621</v>
      </c>
      <c r="E37" s="316" t="s">
        <v>621</v>
      </c>
      <c r="F37" s="317" t="s">
        <v>621</v>
      </c>
      <c r="G37" s="316" t="s">
        <v>621</v>
      </c>
      <c r="H37" s="317" t="s">
        <v>621</v>
      </c>
      <c r="I37" s="316" t="s">
        <v>621</v>
      </c>
      <c r="J37" s="317" t="s">
        <v>621</v>
      </c>
      <c r="K37" s="316" t="s">
        <v>621</v>
      </c>
    </row>
    <row r="38" spans="1:11" s="311" customFormat="1" ht="61.5" x14ac:dyDescent="0.3">
      <c r="A38" s="316" t="s">
        <v>1659</v>
      </c>
      <c r="B38" s="317" t="s">
        <v>1671</v>
      </c>
      <c r="C38" s="316" t="s">
        <v>1683</v>
      </c>
      <c r="D38" s="317" t="s">
        <v>621</v>
      </c>
      <c r="E38" s="316" t="s">
        <v>621</v>
      </c>
      <c r="F38" s="317" t="s">
        <v>621</v>
      </c>
      <c r="G38" s="316" t="s">
        <v>621</v>
      </c>
      <c r="H38" s="317" t="s">
        <v>621</v>
      </c>
      <c r="I38" s="316" t="s">
        <v>621</v>
      </c>
      <c r="J38" s="317" t="s">
        <v>621</v>
      </c>
      <c r="K38" s="316" t="s">
        <v>621</v>
      </c>
    </row>
    <row r="39" spans="1:11" s="311" customFormat="1" ht="30.75" x14ac:dyDescent="0.3">
      <c r="A39" s="316" t="s">
        <v>1660</v>
      </c>
      <c r="B39" s="317" t="s">
        <v>1672</v>
      </c>
      <c r="C39" s="316" t="s">
        <v>1684</v>
      </c>
      <c r="D39" s="317" t="s">
        <v>621</v>
      </c>
      <c r="E39" s="316" t="s">
        <v>621</v>
      </c>
      <c r="F39" s="317" t="s">
        <v>621</v>
      </c>
      <c r="G39" s="316" t="s">
        <v>621</v>
      </c>
      <c r="H39" s="317" t="s">
        <v>621</v>
      </c>
      <c r="I39" s="316" t="s">
        <v>621</v>
      </c>
      <c r="J39" s="317" t="s">
        <v>621</v>
      </c>
      <c r="K39" s="316" t="s">
        <v>621</v>
      </c>
    </row>
    <row r="40" spans="1:11" s="311" customFormat="1" ht="30.75" x14ac:dyDescent="0.3">
      <c r="A40" s="316" t="s">
        <v>1661</v>
      </c>
      <c r="B40" s="317" t="s">
        <v>1673</v>
      </c>
      <c r="C40" s="316" t="s">
        <v>1685</v>
      </c>
      <c r="D40" s="317" t="s">
        <v>621</v>
      </c>
      <c r="E40" s="316" t="s">
        <v>621</v>
      </c>
      <c r="F40" s="317" t="s">
        <v>621</v>
      </c>
      <c r="G40" s="316" t="s">
        <v>621</v>
      </c>
      <c r="H40" s="317" t="s">
        <v>621</v>
      </c>
      <c r="I40" s="316" t="s">
        <v>621</v>
      </c>
      <c r="J40" s="317" t="s">
        <v>621</v>
      </c>
      <c r="K40" s="316" t="s">
        <v>621</v>
      </c>
    </row>
    <row r="41" spans="1:11" s="311" customFormat="1" ht="30.75" x14ac:dyDescent="0.3">
      <c r="A41" s="316" t="s">
        <v>1662</v>
      </c>
      <c r="B41" s="317" t="s">
        <v>1674</v>
      </c>
      <c r="C41" s="316" t="s">
        <v>1686</v>
      </c>
      <c r="D41" s="317" t="s">
        <v>621</v>
      </c>
      <c r="E41" s="316" t="s">
        <v>621</v>
      </c>
      <c r="F41" s="317" t="s">
        <v>621</v>
      </c>
      <c r="G41" s="316" t="s">
        <v>621</v>
      </c>
      <c r="H41" s="317" t="s">
        <v>621</v>
      </c>
      <c r="I41" s="316" t="s">
        <v>621</v>
      </c>
      <c r="J41" s="317" t="s">
        <v>621</v>
      </c>
      <c r="K41" s="316" t="s">
        <v>621</v>
      </c>
    </row>
    <row r="42" spans="1:11" s="311" customFormat="1" ht="30.75" x14ac:dyDescent="0.3">
      <c r="A42" s="316" t="s">
        <v>1663</v>
      </c>
      <c r="B42" s="317" t="s">
        <v>1675</v>
      </c>
      <c r="C42" s="316" t="s">
        <v>1687</v>
      </c>
      <c r="D42" s="317" t="s">
        <v>621</v>
      </c>
      <c r="E42" s="316" t="s">
        <v>621</v>
      </c>
      <c r="F42" s="317" t="s">
        <v>621</v>
      </c>
      <c r="G42" s="316" t="s">
        <v>621</v>
      </c>
      <c r="H42" s="317" t="s">
        <v>621</v>
      </c>
      <c r="I42" s="316" t="s">
        <v>621</v>
      </c>
      <c r="J42" s="317" t="s">
        <v>621</v>
      </c>
      <c r="K42" s="316" t="s">
        <v>621</v>
      </c>
    </row>
    <row r="43" spans="1:11" s="311" customFormat="1" ht="30.75" x14ac:dyDescent="0.3">
      <c r="A43" s="316" t="s">
        <v>1664</v>
      </c>
      <c r="B43" s="317" t="s">
        <v>1676</v>
      </c>
      <c r="C43" s="316" t="s">
        <v>1688</v>
      </c>
      <c r="D43" s="317" t="s">
        <v>621</v>
      </c>
      <c r="E43" s="316" t="s">
        <v>621</v>
      </c>
      <c r="F43" s="317" t="s">
        <v>621</v>
      </c>
      <c r="G43" s="316" t="s">
        <v>621</v>
      </c>
      <c r="H43" s="317" t="s">
        <v>621</v>
      </c>
      <c r="I43" s="316" t="s">
        <v>621</v>
      </c>
      <c r="J43" s="317" t="s">
        <v>621</v>
      </c>
      <c r="K43" s="316" t="s">
        <v>621</v>
      </c>
    </row>
    <row r="44" spans="1:11" s="311" customFormat="1" ht="30.75" x14ac:dyDescent="0.3">
      <c r="A44" s="316" t="s">
        <v>1665</v>
      </c>
      <c r="B44" s="317" t="s">
        <v>1677</v>
      </c>
      <c r="C44" s="316" t="s">
        <v>1689</v>
      </c>
      <c r="D44" s="317" t="s">
        <v>621</v>
      </c>
      <c r="E44" s="316" t="s">
        <v>621</v>
      </c>
      <c r="F44" s="317" t="s">
        <v>621</v>
      </c>
      <c r="G44" s="316" t="s">
        <v>621</v>
      </c>
      <c r="H44" s="317" t="s">
        <v>621</v>
      </c>
      <c r="I44" s="316" t="s">
        <v>621</v>
      </c>
      <c r="J44" s="317" t="s">
        <v>621</v>
      </c>
      <c r="K44" s="316" t="s">
        <v>621</v>
      </c>
    </row>
    <row r="45" spans="1:11" s="311" customFormat="1" ht="30.75" x14ac:dyDescent="0.3">
      <c r="A45" s="316" t="s">
        <v>1666</v>
      </c>
      <c r="B45" s="317" t="s">
        <v>1678</v>
      </c>
      <c r="C45" s="316" t="s">
        <v>1690</v>
      </c>
      <c r="D45" s="317" t="s">
        <v>621</v>
      </c>
      <c r="E45" s="316" t="s">
        <v>621</v>
      </c>
      <c r="F45" s="317" t="s">
        <v>621</v>
      </c>
      <c r="G45" s="316" t="s">
        <v>621</v>
      </c>
      <c r="H45" s="317" t="s">
        <v>621</v>
      </c>
      <c r="I45" s="316" t="s">
        <v>621</v>
      </c>
      <c r="J45" s="317" t="s">
        <v>621</v>
      </c>
      <c r="K45" s="316" t="s">
        <v>621</v>
      </c>
    </row>
    <row r="46" spans="1:11" s="311" customFormat="1" ht="30.75" x14ac:dyDescent="0.3">
      <c r="A46" s="316" t="s">
        <v>1667</v>
      </c>
      <c r="B46" s="317" t="s">
        <v>1679</v>
      </c>
      <c r="C46" s="316" t="s">
        <v>1691</v>
      </c>
      <c r="D46" s="317" t="s">
        <v>621</v>
      </c>
      <c r="E46" s="316" t="s">
        <v>621</v>
      </c>
      <c r="F46" s="317" t="s">
        <v>621</v>
      </c>
      <c r="G46" s="316" t="s">
        <v>621</v>
      </c>
      <c r="H46" s="317" t="s">
        <v>621</v>
      </c>
      <c r="I46" s="316" t="s">
        <v>621</v>
      </c>
      <c r="J46" s="317" t="s">
        <v>621</v>
      </c>
      <c r="K46" s="316" t="s">
        <v>621</v>
      </c>
    </row>
    <row r="47" spans="1:11" s="311" customFormat="1" ht="30.75" x14ac:dyDescent="0.3">
      <c r="A47" s="316" t="s">
        <v>1668</v>
      </c>
      <c r="B47" s="317" t="s">
        <v>1680</v>
      </c>
      <c r="C47" s="316" t="s">
        <v>1692</v>
      </c>
      <c r="D47" s="317" t="s">
        <v>621</v>
      </c>
      <c r="E47" s="316" t="s">
        <v>621</v>
      </c>
      <c r="F47" s="317" t="s">
        <v>621</v>
      </c>
      <c r="G47" s="316" t="s">
        <v>621</v>
      </c>
      <c r="H47" s="317" t="s">
        <v>621</v>
      </c>
      <c r="I47" s="316" t="s">
        <v>621</v>
      </c>
      <c r="J47" s="317" t="s">
        <v>621</v>
      </c>
      <c r="K47" s="316" t="s">
        <v>621</v>
      </c>
    </row>
    <row r="48" spans="1:11" s="311" customFormat="1" ht="30.75" x14ac:dyDescent="0.3">
      <c r="A48" s="316" t="s">
        <v>1669</v>
      </c>
      <c r="B48" s="317" t="s">
        <v>1681</v>
      </c>
      <c r="C48" s="316" t="s">
        <v>1693</v>
      </c>
      <c r="D48" s="317" t="s">
        <v>621</v>
      </c>
      <c r="E48" s="316" t="s">
        <v>621</v>
      </c>
      <c r="F48" s="317" t="s">
        <v>621</v>
      </c>
      <c r="G48" s="316" t="s">
        <v>621</v>
      </c>
      <c r="H48" s="317" t="s">
        <v>621</v>
      </c>
      <c r="I48" s="316" t="s">
        <v>621</v>
      </c>
      <c r="J48" s="317" t="s">
        <v>621</v>
      </c>
      <c r="K48" s="316" t="s">
        <v>621</v>
      </c>
    </row>
    <row r="49" spans="1:11" s="311" customFormat="1" ht="30.75" x14ac:dyDescent="0.3">
      <c r="A49" s="316" t="s">
        <v>1670</v>
      </c>
      <c r="B49" s="317" t="s">
        <v>1682</v>
      </c>
      <c r="C49" s="316" t="s">
        <v>1694</v>
      </c>
      <c r="D49" s="317" t="s">
        <v>621</v>
      </c>
      <c r="E49" s="316" t="s">
        <v>621</v>
      </c>
      <c r="F49" s="317" t="s">
        <v>621</v>
      </c>
      <c r="G49" s="316" t="s">
        <v>621</v>
      </c>
      <c r="H49" s="317" t="s">
        <v>621</v>
      </c>
      <c r="I49" s="316" t="s">
        <v>621</v>
      </c>
      <c r="J49" s="317" t="s">
        <v>621</v>
      </c>
      <c r="K49" s="316" t="s">
        <v>621</v>
      </c>
    </row>
    <row r="50" spans="1:11" s="311" customFormat="1" ht="61.5" x14ac:dyDescent="0.3">
      <c r="A50" s="153" t="s">
        <v>1716</v>
      </c>
      <c r="B50" s="426" t="s">
        <v>1715</v>
      </c>
      <c r="C50" s="316" t="s">
        <v>1730</v>
      </c>
      <c r="D50" s="317" t="s">
        <v>621</v>
      </c>
      <c r="E50" s="316" t="s">
        <v>621</v>
      </c>
      <c r="F50" s="317" t="s">
        <v>621</v>
      </c>
      <c r="G50" s="316" t="s">
        <v>621</v>
      </c>
      <c r="H50" s="317" t="s">
        <v>621</v>
      </c>
      <c r="I50" s="316" t="s">
        <v>621</v>
      </c>
      <c r="J50" s="317" t="s">
        <v>621</v>
      </c>
      <c r="K50" s="316" t="s">
        <v>621</v>
      </c>
    </row>
    <row r="51" spans="1:11" s="311" customFormat="1" ht="61.5" x14ac:dyDescent="0.3">
      <c r="A51" s="543" t="s">
        <v>546</v>
      </c>
      <c r="B51" s="549" t="s">
        <v>739</v>
      </c>
      <c r="C51" s="540" t="s">
        <v>621</v>
      </c>
      <c r="D51" s="549" t="s">
        <v>621</v>
      </c>
      <c r="E51" s="540" t="s">
        <v>621</v>
      </c>
      <c r="F51" s="549" t="s">
        <v>621</v>
      </c>
      <c r="G51" s="540" t="s">
        <v>621</v>
      </c>
      <c r="H51" s="549" t="s">
        <v>621</v>
      </c>
      <c r="I51" s="540" t="s">
        <v>621</v>
      </c>
      <c r="J51" s="549" t="s">
        <v>621</v>
      </c>
      <c r="K51" s="540" t="s">
        <v>621</v>
      </c>
    </row>
    <row r="52" spans="1:11" s="311" customFormat="1" ht="30.75" x14ac:dyDescent="0.3">
      <c r="A52" s="380" t="s">
        <v>599</v>
      </c>
      <c r="B52" s="317" t="s">
        <v>740</v>
      </c>
      <c r="C52" s="316" t="s">
        <v>621</v>
      </c>
      <c r="D52" s="317" t="s">
        <v>621</v>
      </c>
      <c r="E52" s="316" t="s">
        <v>621</v>
      </c>
      <c r="F52" s="317" t="s">
        <v>621</v>
      </c>
      <c r="G52" s="316" t="s">
        <v>621</v>
      </c>
      <c r="H52" s="317" t="s">
        <v>621</v>
      </c>
      <c r="I52" s="316" t="s">
        <v>621</v>
      </c>
      <c r="J52" s="317" t="s">
        <v>621</v>
      </c>
      <c r="K52" s="316" t="s">
        <v>621</v>
      </c>
    </row>
    <row r="53" spans="1:11" s="311" customFormat="1" ht="30.75" x14ac:dyDescent="0.3">
      <c r="A53" s="551" t="s">
        <v>947</v>
      </c>
      <c r="B53" s="628" t="s">
        <v>948</v>
      </c>
      <c r="C53" s="316" t="s">
        <v>1056</v>
      </c>
      <c r="D53" s="317" t="s">
        <v>621</v>
      </c>
      <c r="E53" s="316" t="s">
        <v>621</v>
      </c>
      <c r="F53" s="317" t="s">
        <v>621</v>
      </c>
      <c r="G53" s="316" t="s">
        <v>621</v>
      </c>
      <c r="H53" s="317" t="s">
        <v>621</v>
      </c>
      <c r="I53" s="316" t="s">
        <v>621</v>
      </c>
      <c r="J53" s="317" t="s">
        <v>621</v>
      </c>
      <c r="K53" s="316" t="s">
        <v>621</v>
      </c>
    </row>
    <row r="54" spans="1:11" ht="61.5" x14ac:dyDescent="0.3">
      <c r="A54" s="308" t="s">
        <v>547</v>
      </c>
      <c r="B54" s="309" t="s">
        <v>705</v>
      </c>
      <c r="C54" s="308" t="s">
        <v>621</v>
      </c>
      <c r="D54" s="309" t="s">
        <v>621</v>
      </c>
      <c r="E54" s="308" t="s">
        <v>621</v>
      </c>
      <c r="F54" s="309" t="s">
        <v>621</v>
      </c>
      <c r="G54" s="308" t="s">
        <v>621</v>
      </c>
      <c r="H54" s="309" t="s">
        <v>621</v>
      </c>
      <c r="I54" s="308" t="s">
        <v>621</v>
      </c>
      <c r="J54" s="309" t="s">
        <v>621</v>
      </c>
      <c r="K54" s="308" t="s">
        <v>621</v>
      </c>
    </row>
    <row r="55" spans="1:11" ht="61.5" x14ac:dyDescent="0.3">
      <c r="A55" s="308" t="s">
        <v>604</v>
      </c>
      <c r="B55" s="309" t="s">
        <v>707</v>
      </c>
      <c r="C55" s="308" t="s">
        <v>621</v>
      </c>
      <c r="D55" s="309" t="s">
        <v>621</v>
      </c>
      <c r="E55" s="308" t="s">
        <v>621</v>
      </c>
      <c r="F55" s="309" t="s">
        <v>621</v>
      </c>
      <c r="G55" s="308" t="s">
        <v>621</v>
      </c>
      <c r="H55" s="309" t="s">
        <v>621</v>
      </c>
      <c r="I55" s="308" t="s">
        <v>621</v>
      </c>
      <c r="J55" s="309" t="s">
        <v>621</v>
      </c>
      <c r="K55" s="308" t="s">
        <v>621</v>
      </c>
    </row>
    <row r="56" spans="1:11" s="311" customFormat="1" ht="30.75" x14ac:dyDescent="0.3">
      <c r="A56" s="316" t="s">
        <v>885</v>
      </c>
      <c r="B56" s="317" t="s">
        <v>860</v>
      </c>
      <c r="C56" s="316" t="s">
        <v>1057</v>
      </c>
      <c r="D56" s="317" t="s">
        <v>621</v>
      </c>
      <c r="E56" s="316" t="s">
        <v>621</v>
      </c>
      <c r="F56" s="317" t="s">
        <v>621</v>
      </c>
      <c r="G56" s="316" t="s">
        <v>621</v>
      </c>
      <c r="H56" s="317" t="s">
        <v>621</v>
      </c>
      <c r="I56" s="316" t="s">
        <v>621</v>
      </c>
      <c r="J56" s="317" t="s">
        <v>621</v>
      </c>
      <c r="K56" s="316" t="s">
        <v>621</v>
      </c>
    </row>
    <row r="57" spans="1:11" s="311" customFormat="1" ht="30.75" x14ac:dyDescent="0.3">
      <c r="A57" s="316" t="s">
        <v>886</v>
      </c>
      <c r="B57" s="317" t="s">
        <v>861</v>
      </c>
      <c r="C57" s="316" t="s">
        <v>1058</v>
      </c>
      <c r="D57" s="317" t="s">
        <v>621</v>
      </c>
      <c r="E57" s="316" t="s">
        <v>621</v>
      </c>
      <c r="F57" s="317" t="s">
        <v>621</v>
      </c>
      <c r="G57" s="316" t="s">
        <v>621</v>
      </c>
      <c r="H57" s="317" t="s">
        <v>621</v>
      </c>
      <c r="I57" s="316" t="s">
        <v>621</v>
      </c>
      <c r="J57" s="317" t="s">
        <v>621</v>
      </c>
      <c r="K57" s="316" t="s">
        <v>621</v>
      </c>
    </row>
    <row r="58" spans="1:11" s="311" customFormat="1" ht="30.75" x14ac:dyDescent="0.3">
      <c r="A58" s="316" t="s">
        <v>887</v>
      </c>
      <c r="B58" s="317" t="s">
        <v>862</v>
      </c>
      <c r="C58" s="316" t="s">
        <v>1059</v>
      </c>
      <c r="D58" s="317" t="s">
        <v>621</v>
      </c>
      <c r="E58" s="316" t="s">
        <v>621</v>
      </c>
      <c r="F58" s="317" t="s">
        <v>621</v>
      </c>
      <c r="G58" s="316" t="s">
        <v>621</v>
      </c>
      <c r="H58" s="317" t="s">
        <v>621</v>
      </c>
      <c r="I58" s="316" t="s">
        <v>621</v>
      </c>
      <c r="J58" s="317" t="s">
        <v>621</v>
      </c>
      <c r="K58" s="316" t="s">
        <v>621</v>
      </c>
    </row>
    <row r="59" spans="1:11" s="311" customFormat="1" ht="30.75" x14ac:dyDescent="0.3">
      <c r="A59" s="316" t="s">
        <v>888</v>
      </c>
      <c r="B59" s="317" t="s">
        <v>866</v>
      </c>
      <c r="C59" s="316" t="s">
        <v>1060</v>
      </c>
      <c r="D59" s="317" t="s">
        <v>621</v>
      </c>
      <c r="E59" s="316" t="s">
        <v>621</v>
      </c>
      <c r="F59" s="317" t="s">
        <v>621</v>
      </c>
      <c r="G59" s="316" t="s">
        <v>621</v>
      </c>
      <c r="H59" s="317" t="s">
        <v>621</v>
      </c>
      <c r="I59" s="316" t="s">
        <v>621</v>
      </c>
      <c r="J59" s="317" t="s">
        <v>621</v>
      </c>
      <c r="K59" s="316" t="s">
        <v>621</v>
      </c>
    </row>
    <row r="60" spans="1:11" s="311" customFormat="1" ht="61.5" x14ac:dyDescent="0.3">
      <c r="A60" s="316" t="s">
        <v>889</v>
      </c>
      <c r="B60" s="317" t="s">
        <v>916</v>
      </c>
      <c r="C60" s="316" t="s">
        <v>1061</v>
      </c>
      <c r="D60" s="317" t="s">
        <v>621</v>
      </c>
      <c r="E60" s="316" t="s">
        <v>621</v>
      </c>
      <c r="F60" s="317" t="s">
        <v>621</v>
      </c>
      <c r="G60" s="316" t="s">
        <v>621</v>
      </c>
      <c r="H60" s="317" t="s">
        <v>621</v>
      </c>
      <c r="I60" s="316" t="s">
        <v>621</v>
      </c>
      <c r="J60" s="317" t="s">
        <v>621</v>
      </c>
      <c r="K60" s="316" t="s">
        <v>621</v>
      </c>
    </row>
    <row r="61" spans="1:11" s="311" customFormat="1" ht="30.75" x14ac:dyDescent="0.3">
      <c r="A61" s="316" t="s">
        <v>890</v>
      </c>
      <c r="B61" s="317" t="s">
        <v>871</v>
      </c>
      <c r="C61" s="316" t="s">
        <v>1062</v>
      </c>
      <c r="D61" s="317" t="s">
        <v>621</v>
      </c>
      <c r="E61" s="316" t="s">
        <v>621</v>
      </c>
      <c r="F61" s="317" t="s">
        <v>621</v>
      </c>
      <c r="G61" s="316" t="s">
        <v>621</v>
      </c>
      <c r="H61" s="317" t="s">
        <v>621</v>
      </c>
      <c r="I61" s="316" t="s">
        <v>621</v>
      </c>
      <c r="J61" s="317" t="s">
        <v>621</v>
      </c>
      <c r="K61" s="316" t="s">
        <v>621</v>
      </c>
    </row>
    <row r="62" spans="1:11" s="311" customFormat="1" ht="30.75" x14ac:dyDescent="0.3">
      <c r="A62" s="316" t="s">
        <v>891</v>
      </c>
      <c r="B62" s="317" t="s">
        <v>872</v>
      </c>
      <c r="C62" s="316" t="s">
        <v>1063</v>
      </c>
      <c r="D62" s="317" t="s">
        <v>621</v>
      </c>
      <c r="E62" s="316" t="s">
        <v>621</v>
      </c>
      <c r="F62" s="317" t="s">
        <v>621</v>
      </c>
      <c r="G62" s="316" t="s">
        <v>621</v>
      </c>
      <c r="H62" s="317" t="s">
        <v>621</v>
      </c>
      <c r="I62" s="316" t="s">
        <v>621</v>
      </c>
      <c r="J62" s="317" t="s">
        <v>621</v>
      </c>
      <c r="K62" s="316" t="s">
        <v>621</v>
      </c>
    </row>
    <row r="63" spans="1:11" s="311" customFormat="1" ht="30.75" x14ac:dyDescent="0.3">
      <c r="A63" s="316" t="s">
        <v>892</v>
      </c>
      <c r="B63" s="317" t="s">
        <v>873</v>
      </c>
      <c r="C63" s="316" t="s">
        <v>1064</v>
      </c>
      <c r="D63" s="317" t="s">
        <v>621</v>
      </c>
      <c r="E63" s="316" t="s">
        <v>621</v>
      </c>
      <c r="F63" s="317" t="s">
        <v>621</v>
      </c>
      <c r="G63" s="316" t="s">
        <v>621</v>
      </c>
      <c r="H63" s="317" t="s">
        <v>621</v>
      </c>
      <c r="I63" s="316" t="s">
        <v>621</v>
      </c>
      <c r="J63" s="317" t="s">
        <v>621</v>
      </c>
      <c r="K63" s="316" t="s">
        <v>621</v>
      </c>
    </row>
    <row r="64" spans="1:11" s="311" customFormat="1" ht="30.75" x14ac:dyDescent="0.3">
      <c r="A64" s="316" t="s">
        <v>893</v>
      </c>
      <c r="B64" s="317" t="s">
        <v>877</v>
      </c>
      <c r="C64" s="316" t="s">
        <v>1065</v>
      </c>
      <c r="D64" s="317" t="s">
        <v>621</v>
      </c>
      <c r="E64" s="316" t="s">
        <v>621</v>
      </c>
      <c r="F64" s="317" t="s">
        <v>621</v>
      </c>
      <c r="G64" s="316" t="s">
        <v>621</v>
      </c>
      <c r="H64" s="317" t="s">
        <v>621</v>
      </c>
      <c r="I64" s="316" t="s">
        <v>621</v>
      </c>
      <c r="J64" s="317" t="s">
        <v>621</v>
      </c>
      <c r="K64" s="316" t="s">
        <v>621</v>
      </c>
    </row>
    <row r="65" spans="1:12" s="311" customFormat="1" ht="30.75" x14ac:dyDescent="0.3">
      <c r="A65" s="316" t="s">
        <v>894</v>
      </c>
      <c r="B65" s="317" t="s">
        <v>878</v>
      </c>
      <c r="C65" s="316" t="s">
        <v>1066</v>
      </c>
      <c r="D65" s="317" t="s">
        <v>621</v>
      </c>
      <c r="E65" s="316" t="s">
        <v>621</v>
      </c>
      <c r="F65" s="317" t="s">
        <v>621</v>
      </c>
      <c r="G65" s="316" t="s">
        <v>621</v>
      </c>
      <c r="H65" s="317" t="s">
        <v>621</v>
      </c>
      <c r="I65" s="316" t="s">
        <v>621</v>
      </c>
      <c r="J65" s="317" t="s">
        <v>621</v>
      </c>
      <c r="K65" s="316" t="s">
        <v>621</v>
      </c>
    </row>
    <row r="66" spans="1:12" s="311" customFormat="1" ht="30.75" x14ac:dyDescent="0.3">
      <c r="A66" s="316" t="s">
        <v>895</v>
      </c>
      <c r="B66" s="317" t="s">
        <v>879</v>
      </c>
      <c r="C66" s="316" t="s">
        <v>1067</v>
      </c>
      <c r="D66" s="317" t="s">
        <v>621</v>
      </c>
      <c r="E66" s="316" t="s">
        <v>621</v>
      </c>
      <c r="F66" s="317" t="s">
        <v>621</v>
      </c>
      <c r="G66" s="316" t="s">
        <v>621</v>
      </c>
      <c r="H66" s="317" t="s">
        <v>621</v>
      </c>
      <c r="I66" s="316" t="s">
        <v>621</v>
      </c>
      <c r="J66" s="317" t="s">
        <v>621</v>
      </c>
      <c r="K66" s="316" t="s">
        <v>621</v>
      </c>
    </row>
    <row r="67" spans="1:12" s="311" customFormat="1" ht="30.75" x14ac:dyDescent="0.3">
      <c r="A67" s="316" t="s">
        <v>896</v>
      </c>
      <c r="B67" s="317" t="s">
        <v>880</v>
      </c>
      <c r="C67" s="316" t="s">
        <v>1068</v>
      </c>
      <c r="D67" s="317" t="s">
        <v>621</v>
      </c>
      <c r="E67" s="316" t="s">
        <v>621</v>
      </c>
      <c r="F67" s="317" t="s">
        <v>621</v>
      </c>
      <c r="G67" s="316" t="s">
        <v>621</v>
      </c>
      <c r="H67" s="317" t="s">
        <v>621</v>
      </c>
      <c r="I67" s="316" t="s">
        <v>621</v>
      </c>
      <c r="J67" s="317" t="s">
        <v>621</v>
      </c>
      <c r="K67" s="316" t="s">
        <v>621</v>
      </c>
    </row>
    <row r="68" spans="1:12" s="311" customFormat="1" ht="30.75" x14ac:dyDescent="0.3">
      <c r="A68" s="316" t="s">
        <v>897</v>
      </c>
      <c r="B68" s="317" t="s">
        <v>881</v>
      </c>
      <c r="C68" s="316" t="s">
        <v>1069</v>
      </c>
      <c r="D68" s="317" t="s">
        <v>621</v>
      </c>
      <c r="E68" s="316" t="s">
        <v>621</v>
      </c>
      <c r="F68" s="317" t="s">
        <v>621</v>
      </c>
      <c r="G68" s="316" t="s">
        <v>621</v>
      </c>
      <c r="H68" s="317" t="s">
        <v>621</v>
      </c>
      <c r="I68" s="316" t="s">
        <v>621</v>
      </c>
      <c r="J68" s="317" t="s">
        <v>621</v>
      </c>
      <c r="K68" s="316" t="s">
        <v>621</v>
      </c>
    </row>
    <row r="69" spans="1:12" s="311" customFormat="1" ht="30.75" x14ac:dyDescent="0.3">
      <c r="A69" s="316" t="s">
        <v>898</v>
      </c>
      <c r="B69" s="317" t="s">
        <v>882</v>
      </c>
      <c r="C69" s="316" t="s">
        <v>1070</v>
      </c>
      <c r="D69" s="317" t="s">
        <v>621</v>
      </c>
      <c r="E69" s="316" t="s">
        <v>621</v>
      </c>
      <c r="F69" s="317" t="s">
        <v>621</v>
      </c>
      <c r="G69" s="316" t="s">
        <v>621</v>
      </c>
      <c r="H69" s="317" t="s">
        <v>621</v>
      </c>
      <c r="I69" s="316" t="s">
        <v>621</v>
      </c>
      <c r="J69" s="317" t="s">
        <v>621</v>
      </c>
      <c r="K69" s="316" t="s">
        <v>621</v>
      </c>
    </row>
    <row r="70" spans="1:12" s="311" customFormat="1" ht="30.75" x14ac:dyDescent="0.3">
      <c r="A70" s="316" t="s">
        <v>899</v>
      </c>
      <c r="B70" s="317" t="s">
        <v>883</v>
      </c>
      <c r="C70" s="316" t="s">
        <v>1071</v>
      </c>
      <c r="D70" s="317" t="s">
        <v>621</v>
      </c>
      <c r="E70" s="316" t="s">
        <v>621</v>
      </c>
      <c r="F70" s="317" t="s">
        <v>621</v>
      </c>
      <c r="G70" s="316" t="s">
        <v>621</v>
      </c>
      <c r="H70" s="317" t="s">
        <v>621</v>
      </c>
      <c r="I70" s="316" t="s">
        <v>621</v>
      </c>
      <c r="J70" s="317" t="s">
        <v>621</v>
      </c>
      <c r="K70" s="316" t="s">
        <v>621</v>
      </c>
    </row>
    <row r="71" spans="1:12" s="311" customFormat="1" ht="30.75" x14ac:dyDescent="0.3">
      <c r="A71" s="316" t="s">
        <v>900</v>
      </c>
      <c r="B71" s="317" t="s">
        <v>902</v>
      </c>
      <c r="C71" s="316" t="s">
        <v>1072</v>
      </c>
      <c r="D71" s="317" t="s">
        <v>621</v>
      </c>
      <c r="E71" s="316" t="s">
        <v>621</v>
      </c>
      <c r="F71" s="317" t="s">
        <v>621</v>
      </c>
      <c r="G71" s="316" t="s">
        <v>621</v>
      </c>
      <c r="H71" s="317" t="s">
        <v>621</v>
      </c>
      <c r="I71" s="316" t="s">
        <v>621</v>
      </c>
      <c r="J71" s="317" t="s">
        <v>621</v>
      </c>
      <c r="K71" s="316" t="s">
        <v>621</v>
      </c>
    </row>
    <row r="72" spans="1:12" s="311" customFormat="1" ht="30.75" x14ac:dyDescent="0.3">
      <c r="A72" s="316" t="s">
        <v>919</v>
      </c>
      <c r="B72" s="317" t="s">
        <v>917</v>
      </c>
      <c r="C72" s="316" t="s">
        <v>1073</v>
      </c>
      <c r="D72" s="317" t="s">
        <v>621</v>
      </c>
      <c r="E72" s="316" t="s">
        <v>621</v>
      </c>
      <c r="F72" s="317" t="s">
        <v>621</v>
      </c>
      <c r="G72" s="316" t="s">
        <v>621</v>
      </c>
      <c r="H72" s="317" t="s">
        <v>621</v>
      </c>
      <c r="I72" s="316" t="s">
        <v>621</v>
      </c>
      <c r="J72" s="317" t="s">
        <v>621</v>
      </c>
      <c r="K72" s="316" t="s">
        <v>621</v>
      </c>
    </row>
    <row r="73" spans="1:12" s="311" customFormat="1" ht="30.75" x14ac:dyDescent="0.3">
      <c r="A73" s="316" t="s">
        <v>920</v>
      </c>
      <c r="B73" s="317" t="s">
        <v>1695</v>
      </c>
      <c r="C73" s="316" t="s">
        <v>1696</v>
      </c>
      <c r="D73" s="317" t="s">
        <v>621</v>
      </c>
      <c r="E73" s="316" t="s">
        <v>621</v>
      </c>
      <c r="F73" s="317" t="s">
        <v>621</v>
      </c>
      <c r="G73" s="316" t="s">
        <v>621</v>
      </c>
      <c r="H73" s="317" t="s">
        <v>621</v>
      </c>
      <c r="I73" s="316" t="s">
        <v>621</v>
      </c>
      <c r="J73" s="317" t="s">
        <v>621</v>
      </c>
      <c r="K73" s="316" t="s">
        <v>621</v>
      </c>
    </row>
    <row r="74" spans="1:12" s="311" customFormat="1" ht="30.75" x14ac:dyDescent="0.3">
      <c r="A74" s="316" t="s">
        <v>920</v>
      </c>
      <c r="B74" s="317" t="s">
        <v>1717</v>
      </c>
      <c r="C74" s="316" t="s">
        <v>1735</v>
      </c>
      <c r="D74" s="317" t="s">
        <v>621</v>
      </c>
      <c r="E74" s="316" t="s">
        <v>621</v>
      </c>
      <c r="F74" s="317" t="s">
        <v>621</v>
      </c>
      <c r="G74" s="316" t="s">
        <v>621</v>
      </c>
      <c r="H74" s="317" t="s">
        <v>621</v>
      </c>
      <c r="I74" s="316" t="s">
        <v>621</v>
      </c>
      <c r="J74" s="317" t="s">
        <v>621</v>
      </c>
      <c r="K74" s="316" t="s">
        <v>621</v>
      </c>
    </row>
    <row r="75" spans="1:12" s="311" customFormat="1" ht="30.75" x14ac:dyDescent="0.3">
      <c r="A75" s="316" t="s">
        <v>921</v>
      </c>
      <c r="B75" s="317" t="s">
        <v>1718</v>
      </c>
      <c r="C75" s="316" t="s">
        <v>1731</v>
      </c>
      <c r="D75" s="317" t="s">
        <v>621</v>
      </c>
      <c r="E75" s="316" t="s">
        <v>621</v>
      </c>
      <c r="F75" s="317" t="s">
        <v>621</v>
      </c>
      <c r="G75" s="316" t="s">
        <v>621</v>
      </c>
      <c r="H75" s="317" t="s">
        <v>621</v>
      </c>
      <c r="I75" s="316" t="s">
        <v>621</v>
      </c>
      <c r="J75" s="317" t="s">
        <v>621</v>
      </c>
      <c r="K75" s="316" t="s">
        <v>621</v>
      </c>
    </row>
    <row r="76" spans="1:12" ht="30.75" x14ac:dyDescent="0.3">
      <c r="A76" s="553" t="s">
        <v>741</v>
      </c>
      <c r="B76" s="1055" t="s">
        <v>690</v>
      </c>
      <c r="C76" s="546" t="s">
        <v>621</v>
      </c>
      <c r="D76" s="546" t="s">
        <v>621</v>
      </c>
      <c r="E76" s="546" t="s">
        <v>621</v>
      </c>
      <c r="F76" s="546" t="s">
        <v>621</v>
      </c>
      <c r="G76" s="546" t="s">
        <v>621</v>
      </c>
      <c r="H76" s="546" t="s">
        <v>621</v>
      </c>
      <c r="I76" s="546" t="s">
        <v>621</v>
      </c>
      <c r="J76" s="546" t="s">
        <v>621</v>
      </c>
      <c r="K76" s="691" t="s">
        <v>621</v>
      </c>
      <c r="L76" s="692"/>
    </row>
    <row r="77" spans="1:12" s="312" customFormat="1" ht="30.75" x14ac:dyDescent="0.3">
      <c r="A77" s="540" t="s">
        <v>741</v>
      </c>
      <c r="B77" s="1055" t="s">
        <v>1653</v>
      </c>
      <c r="C77" s="746" t="s">
        <v>621</v>
      </c>
      <c r="D77" s="746" t="s">
        <v>621</v>
      </c>
      <c r="E77" s="746" t="s">
        <v>621</v>
      </c>
      <c r="F77" s="746" t="s">
        <v>621</v>
      </c>
      <c r="G77" s="746" t="s">
        <v>621</v>
      </c>
      <c r="H77" s="746" t="s">
        <v>621</v>
      </c>
      <c r="I77" s="746" t="s">
        <v>621</v>
      </c>
      <c r="J77" s="746" t="s">
        <v>621</v>
      </c>
      <c r="K77" s="746" t="s">
        <v>621</v>
      </c>
      <c r="L77" s="685"/>
    </row>
    <row r="78" spans="1:12" s="312" customFormat="1" ht="61.5" x14ac:dyDescent="0.3">
      <c r="A78" s="316" t="s">
        <v>741</v>
      </c>
      <c r="B78" s="655" t="s">
        <v>1654</v>
      </c>
      <c r="C78" s="433" t="str">
        <f>CONCATENATE("J","_",2021,"_",A78)</f>
        <v>J_2021_1.6</v>
      </c>
      <c r="D78" s="245" t="s">
        <v>621</v>
      </c>
      <c r="E78" s="245" t="s">
        <v>621</v>
      </c>
      <c r="F78" s="245" t="s">
        <v>621</v>
      </c>
      <c r="G78" s="245" t="s">
        <v>621</v>
      </c>
      <c r="H78" s="245" t="s">
        <v>621</v>
      </c>
      <c r="I78" s="245" t="s">
        <v>621</v>
      </c>
      <c r="J78" s="245" t="s">
        <v>621</v>
      </c>
      <c r="K78" s="245" t="s">
        <v>621</v>
      </c>
      <c r="L78" s="685"/>
    </row>
    <row r="79" spans="1:12" s="312" customFormat="1" ht="30.75" x14ac:dyDescent="0.3">
      <c r="A79" s="651"/>
      <c r="B79" s="652"/>
      <c r="C79" s="685"/>
      <c r="D79" s="685"/>
      <c r="E79" s="685"/>
      <c r="F79" s="685"/>
      <c r="G79" s="685"/>
      <c r="H79" s="685"/>
      <c r="I79" s="685"/>
      <c r="J79" s="685"/>
      <c r="K79" s="685"/>
      <c r="L79" s="685"/>
    </row>
    <row r="81" spans="2:11" s="250" customFormat="1" ht="33" x14ac:dyDescent="0.45">
      <c r="B81" s="237" t="s">
        <v>1743</v>
      </c>
      <c r="C81" s="237"/>
      <c r="D81" s="237"/>
      <c r="E81" s="237"/>
      <c r="F81" s="237"/>
      <c r="G81" s="237"/>
      <c r="I81" s="237"/>
      <c r="K81" s="272" t="s">
        <v>1652</v>
      </c>
    </row>
    <row r="84" spans="2:11" ht="13.5" customHeight="1" x14ac:dyDescent="0.3"/>
  </sheetData>
  <mergeCells count="15">
    <mergeCell ref="A4:K4"/>
    <mergeCell ref="A13:K13"/>
    <mergeCell ref="A11:K11"/>
    <mergeCell ref="A12:K12"/>
    <mergeCell ref="A15:A18"/>
    <mergeCell ref="B15:B18"/>
    <mergeCell ref="C15:C18"/>
    <mergeCell ref="K15:K18"/>
    <mergeCell ref="A14:J14"/>
    <mergeCell ref="D15:J16"/>
    <mergeCell ref="D17:F17"/>
    <mergeCell ref="G17:I17"/>
    <mergeCell ref="A6:K6"/>
    <mergeCell ref="A7:K7"/>
    <mergeCell ref="A8:K8"/>
  </mergeCells>
  <printOptions horizontalCentered="1"/>
  <pageMargins left="0.19685039370078741" right="0.19685039370078741" top="0.59055118110236227" bottom="0.19685039370078741" header="0.31496062992125984" footer="0.31496062992125984"/>
  <pageSetup paperSize="9" scale="21" orientation="portrait" r:id="rId1"/>
  <rowBreaks count="1" manualBreakCount="1">
    <brk id="50" max="10"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S74"/>
  <sheetViews>
    <sheetView zoomScale="40" zoomScaleNormal="40" zoomScaleSheetLayoutView="30" workbookViewId="0">
      <selection activeCell="F68" sqref="F68"/>
    </sheetView>
  </sheetViews>
  <sheetFormatPr defaultRowHeight="30.75" x14ac:dyDescent="0.45"/>
  <cols>
    <col min="1" max="1" width="21.875" style="273" customWidth="1"/>
    <col min="2" max="2" width="48.5" style="274" customWidth="1"/>
    <col min="3" max="3" width="32.875" style="274" customWidth="1"/>
    <col min="4" max="4" width="20.75" style="274" customWidth="1"/>
    <col min="5" max="5" width="22.125" style="274" customWidth="1"/>
    <col min="6" max="6" width="22.375" style="274" customWidth="1"/>
    <col min="7" max="7" width="24.875" style="274" customWidth="1"/>
    <col min="8" max="8" width="18.125" style="274" customWidth="1"/>
    <col min="9" max="9" width="24.25" style="274" customWidth="1"/>
    <col min="10" max="10" width="25.5" style="274" customWidth="1"/>
    <col min="11" max="11" width="22.625" style="274" customWidth="1"/>
    <col min="12" max="12" width="24.375" style="274" customWidth="1"/>
    <col min="13" max="13" width="37.75" style="274" customWidth="1"/>
    <col min="14" max="14" width="42.125" style="274" customWidth="1"/>
    <col min="15" max="15" width="22.375" style="274" customWidth="1"/>
    <col min="16" max="17" width="17.125" style="274" customWidth="1"/>
    <col min="18" max="18" width="19.625" style="274" customWidth="1"/>
    <col min="19" max="19" width="10.125" style="276" customWidth="1"/>
    <col min="20" max="20" width="14.125" style="276" customWidth="1"/>
    <col min="21" max="21" width="7.125" style="276" customWidth="1"/>
    <col min="22" max="22" width="19.625" style="276" customWidth="1"/>
    <col min="23" max="23" width="15.125" style="276" customWidth="1"/>
    <col min="24" max="24" width="22.25" style="276" customWidth="1"/>
    <col min="25" max="25" width="23.625" style="276" customWidth="1"/>
    <col min="26" max="26" width="6.875" style="274" bestFit="1" customWidth="1"/>
    <col min="27" max="27" width="6.625" style="274" customWidth="1"/>
    <col min="28" max="28" width="8.125" style="274" customWidth="1"/>
    <col min="29" max="29" width="12.125" style="274" customWidth="1"/>
    <col min="30" max="258" width="9" style="273"/>
    <col min="259" max="259" width="3.875" style="273" bestFit="1" customWidth="1"/>
    <col min="260" max="260" width="16" style="273" bestFit="1" customWidth="1"/>
    <col min="261" max="261" width="16.625" style="273" bestFit="1" customWidth="1"/>
    <col min="262" max="262" width="13.5" style="273" bestFit="1" customWidth="1"/>
    <col min="263" max="264" width="10.875" style="273" bestFit="1" customWidth="1"/>
    <col min="265" max="265" width="6.25" style="273" bestFit="1" customWidth="1"/>
    <col min="266" max="266" width="8.875" style="273" bestFit="1" customWidth="1"/>
    <col min="267" max="267" width="13.875" style="273" bestFit="1" customWidth="1"/>
    <col min="268" max="268" width="13.25" style="273" bestFit="1" customWidth="1"/>
    <col min="269" max="269" width="16" style="273" bestFit="1" customWidth="1"/>
    <col min="270" max="270" width="11.625" style="273" bestFit="1" customWidth="1"/>
    <col min="271" max="271" width="16.875" style="273" customWidth="1"/>
    <col min="272" max="272" width="13.25" style="273" customWidth="1"/>
    <col min="273" max="273" width="18.375" style="273" bestFit="1" customWidth="1"/>
    <col min="274" max="274" width="15" style="273" bestFit="1" customWidth="1"/>
    <col min="275" max="275" width="14.75" style="273" bestFit="1" customWidth="1"/>
    <col min="276" max="276" width="14.625" style="273" bestFit="1" customWidth="1"/>
    <col min="277" max="277" width="13.75" style="273" bestFit="1" customWidth="1"/>
    <col min="278" max="278" width="14.25" style="273" bestFit="1" customWidth="1"/>
    <col min="279" max="279" width="15.125" style="273" customWidth="1"/>
    <col min="280" max="280" width="20.5" style="273" bestFit="1" customWidth="1"/>
    <col min="281" max="281" width="27.875" style="273" bestFit="1" customWidth="1"/>
    <col min="282" max="282" width="6.875" style="273" bestFit="1" customWidth="1"/>
    <col min="283" max="283" width="5" style="273" bestFit="1" customWidth="1"/>
    <col min="284" max="284" width="8" style="273" bestFit="1" customWidth="1"/>
    <col min="285" max="285" width="11.875" style="273" bestFit="1" customWidth="1"/>
    <col min="286" max="514" width="9" style="273"/>
    <col min="515" max="515" width="3.875" style="273" bestFit="1" customWidth="1"/>
    <col min="516" max="516" width="16" style="273" bestFit="1" customWidth="1"/>
    <col min="517" max="517" width="16.625" style="273" bestFit="1" customWidth="1"/>
    <col min="518" max="518" width="13.5" style="273" bestFit="1" customWidth="1"/>
    <col min="519" max="520" width="10.875" style="273" bestFit="1" customWidth="1"/>
    <col min="521" max="521" width="6.25" style="273" bestFit="1" customWidth="1"/>
    <col min="522" max="522" width="8.875" style="273" bestFit="1" customWidth="1"/>
    <col min="523" max="523" width="13.875" style="273" bestFit="1" customWidth="1"/>
    <col min="524" max="524" width="13.25" style="273" bestFit="1" customWidth="1"/>
    <col min="525" max="525" width="16" style="273" bestFit="1" customWidth="1"/>
    <col min="526" max="526" width="11.625" style="273" bestFit="1" customWidth="1"/>
    <col min="527" max="527" width="16.875" style="273" customWidth="1"/>
    <col min="528" max="528" width="13.25" style="273" customWidth="1"/>
    <col min="529" max="529" width="18.375" style="273" bestFit="1" customWidth="1"/>
    <col min="530" max="530" width="15" style="273" bestFit="1" customWidth="1"/>
    <col min="531" max="531" width="14.75" style="273" bestFit="1" customWidth="1"/>
    <col min="532" max="532" width="14.625" style="273" bestFit="1" customWidth="1"/>
    <col min="533" max="533" width="13.75" style="273" bestFit="1" customWidth="1"/>
    <col min="534" max="534" width="14.25" style="273" bestFit="1" customWidth="1"/>
    <col min="535" max="535" width="15.125" style="273" customWidth="1"/>
    <col min="536" max="536" width="20.5" style="273" bestFit="1" customWidth="1"/>
    <col min="537" max="537" width="27.875" style="273" bestFit="1" customWidth="1"/>
    <col min="538" max="538" width="6.875" style="273" bestFit="1" customWidth="1"/>
    <col min="539" max="539" width="5" style="273" bestFit="1" customWidth="1"/>
    <col min="540" max="540" width="8" style="273" bestFit="1" customWidth="1"/>
    <col min="541" max="541" width="11.875" style="273" bestFit="1" customWidth="1"/>
    <col min="542" max="770" width="9" style="273"/>
    <col min="771" max="771" width="3.875" style="273" bestFit="1" customWidth="1"/>
    <col min="772" max="772" width="16" style="273" bestFit="1" customWidth="1"/>
    <col min="773" max="773" width="16.625" style="273" bestFit="1" customWidth="1"/>
    <col min="774" max="774" width="13.5" style="273" bestFit="1" customWidth="1"/>
    <col min="775" max="776" width="10.875" style="273" bestFit="1" customWidth="1"/>
    <col min="777" max="777" width="6.25" style="273" bestFit="1" customWidth="1"/>
    <col min="778" max="778" width="8.875" style="273" bestFit="1" customWidth="1"/>
    <col min="779" max="779" width="13.875" style="273" bestFit="1" customWidth="1"/>
    <col min="780" max="780" width="13.25" style="273" bestFit="1" customWidth="1"/>
    <col min="781" max="781" width="16" style="273" bestFit="1" customWidth="1"/>
    <col min="782" max="782" width="11.625" style="273" bestFit="1" customWidth="1"/>
    <col min="783" max="783" width="16.875" style="273" customWidth="1"/>
    <col min="784" max="784" width="13.25" style="273" customWidth="1"/>
    <col min="785" max="785" width="18.375" style="273" bestFit="1" customWidth="1"/>
    <col min="786" max="786" width="15" style="273" bestFit="1" customWidth="1"/>
    <col min="787" max="787" width="14.75" style="273" bestFit="1" customWidth="1"/>
    <col min="788" max="788" width="14.625" style="273" bestFit="1" customWidth="1"/>
    <col min="789" max="789" width="13.75" style="273" bestFit="1" customWidth="1"/>
    <col min="790" max="790" width="14.25" style="273" bestFit="1" customWidth="1"/>
    <col min="791" max="791" width="15.125" style="273" customWidth="1"/>
    <col min="792" max="792" width="20.5" style="273" bestFit="1" customWidth="1"/>
    <col min="793" max="793" width="27.875" style="273" bestFit="1" customWidth="1"/>
    <col min="794" max="794" width="6.875" style="273" bestFit="1" customWidth="1"/>
    <col min="795" max="795" width="5" style="273" bestFit="1" customWidth="1"/>
    <col min="796" max="796" width="8" style="273" bestFit="1" customWidth="1"/>
    <col min="797" max="797" width="11.875" style="273" bestFit="1" customWidth="1"/>
    <col min="798" max="1026" width="9" style="273"/>
    <col min="1027" max="1027" width="3.875" style="273" bestFit="1" customWidth="1"/>
    <col min="1028" max="1028" width="16" style="273" bestFit="1" customWidth="1"/>
    <col min="1029" max="1029" width="16.625" style="273" bestFit="1" customWidth="1"/>
    <col min="1030" max="1030" width="13.5" style="273" bestFit="1" customWidth="1"/>
    <col min="1031" max="1032" width="10.875" style="273" bestFit="1" customWidth="1"/>
    <col min="1033" max="1033" width="6.25" style="273" bestFit="1" customWidth="1"/>
    <col min="1034" max="1034" width="8.875" style="273" bestFit="1" customWidth="1"/>
    <col min="1035" max="1035" width="13.875" style="273" bestFit="1" customWidth="1"/>
    <col min="1036" max="1036" width="13.25" style="273" bestFit="1" customWidth="1"/>
    <col min="1037" max="1037" width="16" style="273" bestFit="1" customWidth="1"/>
    <col min="1038" max="1038" width="11.625" style="273" bestFit="1" customWidth="1"/>
    <col min="1039" max="1039" width="16.875" style="273" customWidth="1"/>
    <col min="1040" max="1040" width="13.25" style="273" customWidth="1"/>
    <col min="1041" max="1041" width="18.375" style="273" bestFit="1" customWidth="1"/>
    <col min="1042" max="1042" width="15" style="273" bestFit="1" customWidth="1"/>
    <col min="1043" max="1043" width="14.75" style="273" bestFit="1" customWidth="1"/>
    <col min="1044" max="1044" width="14.625" style="273" bestFit="1" customWidth="1"/>
    <col min="1045" max="1045" width="13.75" style="273" bestFit="1" customWidth="1"/>
    <col min="1046" max="1046" width="14.25" style="273" bestFit="1" customWidth="1"/>
    <col min="1047" max="1047" width="15.125" style="273" customWidth="1"/>
    <col min="1048" max="1048" width="20.5" style="273" bestFit="1" customWidth="1"/>
    <col min="1049" max="1049" width="27.875" style="273" bestFit="1" customWidth="1"/>
    <col min="1050" max="1050" width="6.875" style="273" bestFit="1" customWidth="1"/>
    <col min="1051" max="1051" width="5" style="273" bestFit="1" customWidth="1"/>
    <col min="1052" max="1052" width="8" style="273" bestFit="1" customWidth="1"/>
    <col min="1053" max="1053" width="11.875" style="273" bestFit="1" customWidth="1"/>
    <col min="1054" max="1282" width="9" style="273"/>
    <col min="1283" max="1283" width="3.875" style="273" bestFit="1" customWidth="1"/>
    <col min="1284" max="1284" width="16" style="273" bestFit="1" customWidth="1"/>
    <col min="1285" max="1285" width="16.625" style="273" bestFit="1" customWidth="1"/>
    <col min="1286" max="1286" width="13.5" style="273" bestFit="1" customWidth="1"/>
    <col min="1287" max="1288" width="10.875" style="273" bestFit="1" customWidth="1"/>
    <col min="1289" max="1289" width="6.25" style="273" bestFit="1" customWidth="1"/>
    <col min="1290" max="1290" width="8.875" style="273" bestFit="1" customWidth="1"/>
    <col min="1291" max="1291" width="13.875" style="273" bestFit="1" customWidth="1"/>
    <col min="1292" max="1292" width="13.25" style="273" bestFit="1" customWidth="1"/>
    <col min="1293" max="1293" width="16" style="273" bestFit="1" customWidth="1"/>
    <col min="1294" max="1294" width="11.625" style="273" bestFit="1" customWidth="1"/>
    <col min="1295" max="1295" width="16.875" style="273" customWidth="1"/>
    <col min="1296" max="1296" width="13.25" style="273" customWidth="1"/>
    <col min="1297" max="1297" width="18.375" style="273" bestFit="1" customWidth="1"/>
    <col min="1298" max="1298" width="15" style="273" bestFit="1" customWidth="1"/>
    <col min="1299" max="1299" width="14.75" style="273" bestFit="1" customWidth="1"/>
    <col min="1300" max="1300" width="14.625" style="273" bestFit="1" customWidth="1"/>
    <col min="1301" max="1301" width="13.75" style="273" bestFit="1" customWidth="1"/>
    <col min="1302" max="1302" width="14.25" style="273" bestFit="1" customWidth="1"/>
    <col min="1303" max="1303" width="15.125" style="273" customWidth="1"/>
    <col min="1304" max="1304" width="20.5" style="273" bestFit="1" customWidth="1"/>
    <col min="1305" max="1305" width="27.875" style="273" bestFit="1" customWidth="1"/>
    <col min="1306" max="1306" width="6.875" style="273" bestFit="1" customWidth="1"/>
    <col min="1307" max="1307" width="5" style="273" bestFit="1" customWidth="1"/>
    <col min="1308" max="1308" width="8" style="273" bestFit="1" customWidth="1"/>
    <col min="1309" max="1309" width="11.875" style="273" bestFit="1" customWidth="1"/>
    <col min="1310" max="1538" width="9" style="273"/>
    <col min="1539" max="1539" width="3.875" style="273" bestFit="1" customWidth="1"/>
    <col min="1540" max="1540" width="16" style="273" bestFit="1" customWidth="1"/>
    <col min="1541" max="1541" width="16.625" style="273" bestFit="1" customWidth="1"/>
    <col min="1542" max="1542" width="13.5" style="273" bestFit="1" customWidth="1"/>
    <col min="1543" max="1544" width="10.875" style="273" bestFit="1" customWidth="1"/>
    <col min="1545" max="1545" width="6.25" style="273" bestFit="1" customWidth="1"/>
    <col min="1546" max="1546" width="8.875" style="273" bestFit="1" customWidth="1"/>
    <col min="1547" max="1547" width="13.875" style="273" bestFit="1" customWidth="1"/>
    <col min="1548" max="1548" width="13.25" style="273" bestFit="1" customWidth="1"/>
    <col min="1549" max="1549" width="16" style="273" bestFit="1" customWidth="1"/>
    <col min="1550" max="1550" width="11.625" style="273" bestFit="1" customWidth="1"/>
    <col min="1551" max="1551" width="16.875" style="273" customWidth="1"/>
    <col min="1552" max="1552" width="13.25" style="273" customWidth="1"/>
    <col min="1553" max="1553" width="18.375" style="273" bestFit="1" customWidth="1"/>
    <col min="1554" max="1554" width="15" style="273" bestFit="1" customWidth="1"/>
    <col min="1555" max="1555" width="14.75" style="273" bestFit="1" customWidth="1"/>
    <col min="1556" max="1556" width="14.625" style="273" bestFit="1" customWidth="1"/>
    <col min="1557" max="1557" width="13.75" style="273" bestFit="1" customWidth="1"/>
    <col min="1558" max="1558" width="14.25" style="273" bestFit="1" customWidth="1"/>
    <col min="1559" max="1559" width="15.125" style="273" customWidth="1"/>
    <col min="1560" max="1560" width="20.5" style="273" bestFit="1" customWidth="1"/>
    <col min="1561" max="1561" width="27.875" style="273" bestFit="1" customWidth="1"/>
    <col min="1562" max="1562" width="6.875" style="273" bestFit="1" customWidth="1"/>
    <col min="1563" max="1563" width="5" style="273" bestFit="1" customWidth="1"/>
    <col min="1564" max="1564" width="8" style="273" bestFit="1" customWidth="1"/>
    <col min="1565" max="1565" width="11.875" style="273" bestFit="1" customWidth="1"/>
    <col min="1566" max="1794" width="9" style="273"/>
    <col min="1795" max="1795" width="3.875" style="273" bestFit="1" customWidth="1"/>
    <col min="1796" max="1796" width="16" style="273" bestFit="1" customWidth="1"/>
    <col min="1797" max="1797" width="16.625" style="273" bestFit="1" customWidth="1"/>
    <col min="1798" max="1798" width="13.5" style="273" bestFit="1" customWidth="1"/>
    <col min="1799" max="1800" width="10.875" style="273" bestFit="1" customWidth="1"/>
    <col min="1801" max="1801" width="6.25" style="273" bestFit="1" customWidth="1"/>
    <col min="1802" max="1802" width="8.875" style="273" bestFit="1" customWidth="1"/>
    <col min="1803" max="1803" width="13.875" style="273" bestFit="1" customWidth="1"/>
    <col min="1804" max="1804" width="13.25" style="273" bestFit="1" customWidth="1"/>
    <col min="1805" max="1805" width="16" style="273" bestFit="1" customWidth="1"/>
    <col min="1806" max="1806" width="11.625" style="273" bestFit="1" customWidth="1"/>
    <col min="1807" max="1807" width="16.875" style="273" customWidth="1"/>
    <col min="1808" max="1808" width="13.25" style="273" customWidth="1"/>
    <col min="1809" max="1809" width="18.375" style="273" bestFit="1" customWidth="1"/>
    <col min="1810" max="1810" width="15" style="273" bestFit="1" customWidth="1"/>
    <col min="1811" max="1811" width="14.75" style="273" bestFit="1" customWidth="1"/>
    <col min="1812" max="1812" width="14.625" style="273" bestFit="1" customWidth="1"/>
    <col min="1813" max="1813" width="13.75" style="273" bestFit="1" customWidth="1"/>
    <col min="1814" max="1814" width="14.25" style="273" bestFit="1" customWidth="1"/>
    <col min="1815" max="1815" width="15.125" style="273" customWidth="1"/>
    <col min="1816" max="1816" width="20.5" style="273" bestFit="1" customWidth="1"/>
    <col min="1817" max="1817" width="27.875" style="273" bestFit="1" customWidth="1"/>
    <col min="1818" max="1818" width="6.875" style="273" bestFit="1" customWidth="1"/>
    <col min="1819" max="1819" width="5" style="273" bestFit="1" customWidth="1"/>
    <col min="1820" max="1820" width="8" style="273" bestFit="1" customWidth="1"/>
    <col min="1821" max="1821" width="11.875" style="273" bestFit="1" customWidth="1"/>
    <col min="1822" max="2050" width="9" style="273"/>
    <col min="2051" max="2051" width="3.875" style="273" bestFit="1" customWidth="1"/>
    <col min="2052" max="2052" width="16" style="273" bestFit="1" customWidth="1"/>
    <col min="2053" max="2053" width="16.625" style="273" bestFit="1" customWidth="1"/>
    <col min="2054" max="2054" width="13.5" style="273" bestFit="1" customWidth="1"/>
    <col min="2055" max="2056" width="10.875" style="273" bestFit="1" customWidth="1"/>
    <col min="2057" max="2057" width="6.25" style="273" bestFit="1" customWidth="1"/>
    <col min="2058" max="2058" width="8.875" style="273" bestFit="1" customWidth="1"/>
    <col min="2059" max="2059" width="13.875" style="273" bestFit="1" customWidth="1"/>
    <col min="2060" max="2060" width="13.25" style="273" bestFit="1" customWidth="1"/>
    <col min="2061" max="2061" width="16" style="273" bestFit="1" customWidth="1"/>
    <col min="2062" max="2062" width="11.625" style="273" bestFit="1" customWidth="1"/>
    <col min="2063" max="2063" width="16.875" style="273" customWidth="1"/>
    <col min="2064" max="2064" width="13.25" style="273" customWidth="1"/>
    <col min="2065" max="2065" width="18.375" style="273" bestFit="1" customWidth="1"/>
    <col min="2066" max="2066" width="15" style="273" bestFit="1" customWidth="1"/>
    <col min="2067" max="2067" width="14.75" style="273" bestFit="1" customWidth="1"/>
    <col min="2068" max="2068" width="14.625" style="273" bestFit="1" customWidth="1"/>
    <col min="2069" max="2069" width="13.75" style="273" bestFit="1" customWidth="1"/>
    <col min="2070" max="2070" width="14.25" style="273" bestFit="1" customWidth="1"/>
    <col min="2071" max="2071" width="15.125" style="273" customWidth="1"/>
    <col min="2072" max="2072" width="20.5" style="273" bestFit="1" customWidth="1"/>
    <col min="2073" max="2073" width="27.875" style="273" bestFit="1" customWidth="1"/>
    <col min="2074" max="2074" width="6.875" style="273" bestFit="1" customWidth="1"/>
    <col min="2075" max="2075" width="5" style="273" bestFit="1" customWidth="1"/>
    <col min="2076" max="2076" width="8" style="273" bestFit="1" customWidth="1"/>
    <col min="2077" max="2077" width="11.875" style="273" bestFit="1" customWidth="1"/>
    <col min="2078" max="2306" width="9" style="273"/>
    <col min="2307" max="2307" width="3.875" style="273" bestFit="1" customWidth="1"/>
    <col min="2308" max="2308" width="16" style="273" bestFit="1" customWidth="1"/>
    <col min="2309" max="2309" width="16.625" style="273" bestFit="1" customWidth="1"/>
    <col min="2310" max="2310" width="13.5" style="273" bestFit="1" customWidth="1"/>
    <col min="2311" max="2312" width="10.875" style="273" bestFit="1" customWidth="1"/>
    <col min="2313" max="2313" width="6.25" style="273" bestFit="1" customWidth="1"/>
    <col min="2314" max="2314" width="8.875" style="273" bestFit="1" customWidth="1"/>
    <col min="2315" max="2315" width="13.875" style="273" bestFit="1" customWidth="1"/>
    <col min="2316" max="2316" width="13.25" style="273" bestFit="1" customWidth="1"/>
    <col min="2317" max="2317" width="16" style="273" bestFit="1" customWidth="1"/>
    <col min="2318" max="2318" width="11.625" style="273" bestFit="1" customWidth="1"/>
    <col min="2319" max="2319" width="16.875" style="273" customWidth="1"/>
    <col min="2320" max="2320" width="13.25" style="273" customWidth="1"/>
    <col min="2321" max="2321" width="18.375" style="273" bestFit="1" customWidth="1"/>
    <col min="2322" max="2322" width="15" style="273" bestFit="1" customWidth="1"/>
    <col min="2323" max="2323" width="14.75" style="273" bestFit="1" customWidth="1"/>
    <col min="2324" max="2324" width="14.625" style="273" bestFit="1" customWidth="1"/>
    <col min="2325" max="2325" width="13.75" style="273" bestFit="1" customWidth="1"/>
    <col min="2326" max="2326" width="14.25" style="273" bestFit="1" customWidth="1"/>
    <col min="2327" max="2327" width="15.125" style="273" customWidth="1"/>
    <col min="2328" max="2328" width="20.5" style="273" bestFit="1" customWidth="1"/>
    <col min="2329" max="2329" width="27.875" style="273" bestFit="1" customWidth="1"/>
    <col min="2330" max="2330" width="6.875" style="273" bestFit="1" customWidth="1"/>
    <col min="2331" max="2331" width="5" style="273" bestFit="1" customWidth="1"/>
    <col min="2332" max="2332" width="8" style="273" bestFit="1" customWidth="1"/>
    <col min="2333" max="2333" width="11.875" style="273" bestFit="1" customWidth="1"/>
    <col min="2334" max="2562" width="9" style="273"/>
    <col min="2563" max="2563" width="3.875" style="273" bestFit="1" customWidth="1"/>
    <col min="2564" max="2564" width="16" style="273" bestFit="1" customWidth="1"/>
    <col min="2565" max="2565" width="16.625" style="273" bestFit="1" customWidth="1"/>
    <col min="2566" max="2566" width="13.5" style="273" bestFit="1" customWidth="1"/>
    <col min="2567" max="2568" width="10.875" style="273" bestFit="1" customWidth="1"/>
    <col min="2569" max="2569" width="6.25" style="273" bestFit="1" customWidth="1"/>
    <col min="2570" max="2570" width="8.875" style="273" bestFit="1" customWidth="1"/>
    <col min="2571" max="2571" width="13.875" style="273" bestFit="1" customWidth="1"/>
    <col min="2572" max="2572" width="13.25" style="273" bestFit="1" customWidth="1"/>
    <col min="2573" max="2573" width="16" style="273" bestFit="1" customWidth="1"/>
    <col min="2574" max="2574" width="11.625" style="273" bestFit="1" customWidth="1"/>
    <col min="2575" max="2575" width="16.875" style="273" customWidth="1"/>
    <col min="2576" max="2576" width="13.25" style="273" customWidth="1"/>
    <col min="2577" max="2577" width="18.375" style="273" bestFit="1" customWidth="1"/>
    <col min="2578" max="2578" width="15" style="273" bestFit="1" customWidth="1"/>
    <col min="2579" max="2579" width="14.75" style="273" bestFit="1" customWidth="1"/>
    <col min="2580" max="2580" width="14.625" style="273" bestFit="1" customWidth="1"/>
    <col min="2581" max="2581" width="13.75" style="273" bestFit="1" customWidth="1"/>
    <col min="2582" max="2582" width="14.25" style="273" bestFit="1" customWidth="1"/>
    <col min="2583" max="2583" width="15.125" style="273" customWidth="1"/>
    <col min="2584" max="2584" width="20.5" style="273" bestFit="1" customWidth="1"/>
    <col min="2585" max="2585" width="27.875" style="273" bestFit="1" customWidth="1"/>
    <col min="2586" max="2586" width="6.875" style="273" bestFit="1" customWidth="1"/>
    <col min="2587" max="2587" width="5" style="273" bestFit="1" customWidth="1"/>
    <col min="2588" max="2588" width="8" style="273" bestFit="1" customWidth="1"/>
    <col min="2589" max="2589" width="11.875" style="273" bestFit="1" customWidth="1"/>
    <col min="2590" max="2818" width="9" style="273"/>
    <col min="2819" max="2819" width="3.875" style="273" bestFit="1" customWidth="1"/>
    <col min="2820" max="2820" width="16" style="273" bestFit="1" customWidth="1"/>
    <col min="2821" max="2821" width="16.625" style="273" bestFit="1" customWidth="1"/>
    <col min="2822" max="2822" width="13.5" style="273" bestFit="1" customWidth="1"/>
    <col min="2823" max="2824" width="10.875" style="273" bestFit="1" customWidth="1"/>
    <col min="2825" max="2825" width="6.25" style="273" bestFit="1" customWidth="1"/>
    <col min="2826" max="2826" width="8.875" style="273" bestFit="1" customWidth="1"/>
    <col min="2827" max="2827" width="13.875" style="273" bestFit="1" customWidth="1"/>
    <col min="2828" max="2828" width="13.25" style="273" bestFit="1" customWidth="1"/>
    <col min="2829" max="2829" width="16" style="273" bestFit="1" customWidth="1"/>
    <col min="2830" max="2830" width="11.625" style="273" bestFit="1" customWidth="1"/>
    <col min="2831" max="2831" width="16.875" style="273" customWidth="1"/>
    <col min="2832" max="2832" width="13.25" style="273" customWidth="1"/>
    <col min="2833" max="2833" width="18.375" style="273" bestFit="1" customWidth="1"/>
    <col min="2834" max="2834" width="15" style="273" bestFit="1" customWidth="1"/>
    <col min="2835" max="2835" width="14.75" style="273" bestFit="1" customWidth="1"/>
    <col min="2836" max="2836" width="14.625" style="273" bestFit="1" customWidth="1"/>
    <col min="2837" max="2837" width="13.75" style="273" bestFit="1" customWidth="1"/>
    <col min="2838" max="2838" width="14.25" style="273" bestFit="1" customWidth="1"/>
    <col min="2839" max="2839" width="15.125" style="273" customWidth="1"/>
    <col min="2840" max="2840" width="20.5" style="273" bestFit="1" customWidth="1"/>
    <col min="2841" max="2841" width="27.875" style="273" bestFit="1" customWidth="1"/>
    <col min="2842" max="2842" width="6.875" style="273" bestFit="1" customWidth="1"/>
    <col min="2843" max="2843" width="5" style="273" bestFit="1" customWidth="1"/>
    <col min="2844" max="2844" width="8" style="273" bestFit="1" customWidth="1"/>
    <col min="2845" max="2845" width="11.875" style="273" bestFit="1" customWidth="1"/>
    <col min="2846" max="3074" width="9" style="273"/>
    <col min="3075" max="3075" width="3.875" style="273" bestFit="1" customWidth="1"/>
    <col min="3076" max="3076" width="16" style="273" bestFit="1" customWidth="1"/>
    <col min="3077" max="3077" width="16.625" style="273" bestFit="1" customWidth="1"/>
    <col min="3078" max="3078" width="13.5" style="273" bestFit="1" customWidth="1"/>
    <col min="3079" max="3080" width="10.875" style="273" bestFit="1" customWidth="1"/>
    <col min="3081" max="3081" width="6.25" style="273" bestFit="1" customWidth="1"/>
    <col min="3082" max="3082" width="8.875" style="273" bestFit="1" customWidth="1"/>
    <col min="3083" max="3083" width="13.875" style="273" bestFit="1" customWidth="1"/>
    <col min="3084" max="3084" width="13.25" style="273" bestFit="1" customWidth="1"/>
    <col min="3085" max="3085" width="16" style="273" bestFit="1" customWidth="1"/>
    <col min="3086" max="3086" width="11.625" style="273" bestFit="1" customWidth="1"/>
    <col min="3087" max="3087" width="16.875" style="273" customWidth="1"/>
    <col min="3088" max="3088" width="13.25" style="273" customWidth="1"/>
    <col min="3089" max="3089" width="18.375" style="273" bestFit="1" customWidth="1"/>
    <col min="3090" max="3090" width="15" style="273" bestFit="1" customWidth="1"/>
    <col min="3091" max="3091" width="14.75" style="273" bestFit="1" customWidth="1"/>
    <col min="3092" max="3092" width="14.625" style="273" bestFit="1" customWidth="1"/>
    <col min="3093" max="3093" width="13.75" style="273" bestFit="1" customWidth="1"/>
    <col min="3094" max="3094" width="14.25" style="273" bestFit="1" customWidth="1"/>
    <col min="3095" max="3095" width="15.125" style="273" customWidth="1"/>
    <col min="3096" max="3096" width="20.5" style="273" bestFit="1" customWidth="1"/>
    <col min="3097" max="3097" width="27.875" style="273" bestFit="1" customWidth="1"/>
    <col min="3098" max="3098" width="6.875" style="273" bestFit="1" customWidth="1"/>
    <col min="3099" max="3099" width="5" style="273" bestFit="1" customWidth="1"/>
    <col min="3100" max="3100" width="8" style="273" bestFit="1" customWidth="1"/>
    <col min="3101" max="3101" width="11.875" style="273" bestFit="1" customWidth="1"/>
    <col min="3102" max="3330" width="9" style="273"/>
    <col min="3331" max="3331" width="3.875" style="273" bestFit="1" customWidth="1"/>
    <col min="3332" max="3332" width="16" style="273" bestFit="1" customWidth="1"/>
    <col min="3333" max="3333" width="16.625" style="273" bestFit="1" customWidth="1"/>
    <col min="3334" max="3334" width="13.5" style="273" bestFit="1" customWidth="1"/>
    <col min="3335" max="3336" width="10.875" style="273" bestFit="1" customWidth="1"/>
    <col min="3337" max="3337" width="6.25" style="273" bestFit="1" customWidth="1"/>
    <col min="3338" max="3338" width="8.875" style="273" bestFit="1" customWidth="1"/>
    <col min="3339" max="3339" width="13.875" style="273" bestFit="1" customWidth="1"/>
    <col min="3340" max="3340" width="13.25" style="273" bestFit="1" customWidth="1"/>
    <col min="3341" max="3341" width="16" style="273" bestFit="1" customWidth="1"/>
    <col min="3342" max="3342" width="11.625" style="273" bestFit="1" customWidth="1"/>
    <col min="3343" max="3343" width="16.875" style="273" customWidth="1"/>
    <col min="3344" max="3344" width="13.25" style="273" customWidth="1"/>
    <col min="3345" max="3345" width="18.375" style="273" bestFit="1" customWidth="1"/>
    <col min="3346" max="3346" width="15" style="273" bestFit="1" customWidth="1"/>
    <col min="3347" max="3347" width="14.75" style="273" bestFit="1" customWidth="1"/>
    <col min="3348" max="3348" width="14.625" style="273" bestFit="1" customWidth="1"/>
    <col min="3349" max="3349" width="13.75" style="273" bestFit="1" customWidth="1"/>
    <col min="3350" max="3350" width="14.25" style="273" bestFit="1" customWidth="1"/>
    <col min="3351" max="3351" width="15.125" style="273" customWidth="1"/>
    <col min="3352" max="3352" width="20.5" style="273" bestFit="1" customWidth="1"/>
    <col min="3353" max="3353" width="27.875" style="273" bestFit="1" customWidth="1"/>
    <col min="3354" max="3354" width="6.875" style="273" bestFit="1" customWidth="1"/>
    <col min="3355" max="3355" width="5" style="273" bestFit="1" customWidth="1"/>
    <col min="3356" max="3356" width="8" style="273" bestFit="1" customWidth="1"/>
    <col min="3357" max="3357" width="11.875" style="273" bestFit="1" customWidth="1"/>
    <col min="3358" max="3586" width="9" style="273"/>
    <col min="3587" max="3587" width="3.875" style="273" bestFit="1" customWidth="1"/>
    <col min="3588" max="3588" width="16" style="273" bestFit="1" customWidth="1"/>
    <col min="3589" max="3589" width="16.625" style="273" bestFit="1" customWidth="1"/>
    <col min="3590" max="3590" width="13.5" style="273" bestFit="1" customWidth="1"/>
    <col min="3591" max="3592" width="10.875" style="273" bestFit="1" customWidth="1"/>
    <col min="3593" max="3593" width="6.25" style="273" bestFit="1" customWidth="1"/>
    <col min="3594" max="3594" width="8.875" style="273" bestFit="1" customWidth="1"/>
    <col min="3595" max="3595" width="13.875" style="273" bestFit="1" customWidth="1"/>
    <col min="3596" max="3596" width="13.25" style="273" bestFit="1" customWidth="1"/>
    <col min="3597" max="3597" width="16" style="273" bestFit="1" customWidth="1"/>
    <col min="3598" max="3598" width="11.625" style="273" bestFit="1" customWidth="1"/>
    <col min="3599" max="3599" width="16.875" style="273" customWidth="1"/>
    <col min="3600" max="3600" width="13.25" style="273" customWidth="1"/>
    <col min="3601" max="3601" width="18.375" style="273" bestFit="1" customWidth="1"/>
    <col min="3602" max="3602" width="15" style="273" bestFit="1" customWidth="1"/>
    <col min="3603" max="3603" width="14.75" style="273" bestFit="1" customWidth="1"/>
    <col min="3604" max="3604" width="14.625" style="273" bestFit="1" customWidth="1"/>
    <col min="3605" max="3605" width="13.75" style="273" bestFit="1" customWidth="1"/>
    <col min="3606" max="3606" width="14.25" style="273" bestFit="1" customWidth="1"/>
    <col min="3607" max="3607" width="15.125" style="273" customWidth="1"/>
    <col min="3608" max="3608" width="20.5" style="273" bestFit="1" customWidth="1"/>
    <col min="3609" max="3609" width="27.875" style="273" bestFit="1" customWidth="1"/>
    <col min="3610" max="3610" width="6.875" style="273" bestFit="1" customWidth="1"/>
    <col min="3611" max="3611" width="5" style="273" bestFit="1" customWidth="1"/>
    <col min="3612" max="3612" width="8" style="273" bestFit="1" customWidth="1"/>
    <col min="3613" max="3613" width="11.875" style="273" bestFit="1" customWidth="1"/>
    <col min="3614" max="3842" width="9" style="273"/>
    <col min="3843" max="3843" width="3.875" style="273" bestFit="1" customWidth="1"/>
    <col min="3844" max="3844" width="16" style="273" bestFit="1" customWidth="1"/>
    <col min="3845" max="3845" width="16.625" style="273" bestFit="1" customWidth="1"/>
    <col min="3846" max="3846" width="13.5" style="273" bestFit="1" customWidth="1"/>
    <col min="3847" max="3848" width="10.875" style="273" bestFit="1" customWidth="1"/>
    <col min="3849" max="3849" width="6.25" style="273" bestFit="1" customWidth="1"/>
    <col min="3850" max="3850" width="8.875" style="273" bestFit="1" customWidth="1"/>
    <col min="3851" max="3851" width="13.875" style="273" bestFit="1" customWidth="1"/>
    <col min="3852" max="3852" width="13.25" style="273" bestFit="1" customWidth="1"/>
    <col min="3853" max="3853" width="16" style="273" bestFit="1" customWidth="1"/>
    <col min="3854" max="3854" width="11.625" style="273" bestFit="1" customWidth="1"/>
    <col min="3855" max="3855" width="16.875" style="273" customWidth="1"/>
    <col min="3856" max="3856" width="13.25" style="273" customWidth="1"/>
    <col min="3857" max="3857" width="18.375" style="273" bestFit="1" customWidth="1"/>
    <col min="3858" max="3858" width="15" style="273" bestFit="1" customWidth="1"/>
    <col min="3859" max="3859" width="14.75" style="273" bestFit="1" customWidth="1"/>
    <col min="3860" max="3860" width="14.625" style="273" bestFit="1" customWidth="1"/>
    <col min="3861" max="3861" width="13.75" style="273" bestFit="1" customWidth="1"/>
    <col min="3862" max="3862" width="14.25" style="273" bestFit="1" customWidth="1"/>
    <col min="3863" max="3863" width="15.125" style="273" customWidth="1"/>
    <col min="3864" max="3864" width="20.5" style="273" bestFit="1" customWidth="1"/>
    <col min="3865" max="3865" width="27.875" style="273" bestFit="1" customWidth="1"/>
    <col min="3866" max="3866" width="6.875" style="273" bestFit="1" customWidth="1"/>
    <col min="3867" max="3867" width="5" style="273" bestFit="1" customWidth="1"/>
    <col min="3868" max="3868" width="8" style="273" bestFit="1" customWidth="1"/>
    <col min="3869" max="3869" width="11.875" style="273" bestFit="1" customWidth="1"/>
    <col min="3870" max="4098" width="9" style="273"/>
    <col min="4099" max="4099" width="3.875" style="273" bestFit="1" customWidth="1"/>
    <col min="4100" max="4100" width="16" style="273" bestFit="1" customWidth="1"/>
    <col min="4101" max="4101" width="16.625" style="273" bestFit="1" customWidth="1"/>
    <col min="4102" max="4102" width="13.5" style="273" bestFit="1" customWidth="1"/>
    <col min="4103" max="4104" width="10.875" style="273" bestFit="1" customWidth="1"/>
    <col min="4105" max="4105" width="6.25" style="273" bestFit="1" customWidth="1"/>
    <col min="4106" max="4106" width="8.875" style="273" bestFit="1" customWidth="1"/>
    <col min="4107" max="4107" width="13.875" style="273" bestFit="1" customWidth="1"/>
    <col min="4108" max="4108" width="13.25" style="273" bestFit="1" customWidth="1"/>
    <col min="4109" max="4109" width="16" style="273" bestFit="1" customWidth="1"/>
    <col min="4110" max="4110" width="11.625" style="273" bestFit="1" customWidth="1"/>
    <col min="4111" max="4111" width="16.875" style="273" customWidth="1"/>
    <col min="4112" max="4112" width="13.25" style="273" customWidth="1"/>
    <col min="4113" max="4113" width="18.375" style="273" bestFit="1" customWidth="1"/>
    <col min="4114" max="4114" width="15" style="273" bestFit="1" customWidth="1"/>
    <col min="4115" max="4115" width="14.75" style="273" bestFit="1" customWidth="1"/>
    <col min="4116" max="4116" width="14.625" style="273" bestFit="1" customWidth="1"/>
    <col min="4117" max="4117" width="13.75" style="273" bestFit="1" customWidth="1"/>
    <col min="4118" max="4118" width="14.25" style="273" bestFit="1" customWidth="1"/>
    <col min="4119" max="4119" width="15.125" style="273" customWidth="1"/>
    <col min="4120" max="4120" width="20.5" style="273" bestFit="1" customWidth="1"/>
    <col min="4121" max="4121" width="27.875" style="273" bestFit="1" customWidth="1"/>
    <col min="4122" max="4122" width="6.875" style="273" bestFit="1" customWidth="1"/>
    <col min="4123" max="4123" width="5" style="273" bestFit="1" customWidth="1"/>
    <col min="4124" max="4124" width="8" style="273" bestFit="1" customWidth="1"/>
    <col min="4125" max="4125" width="11.875" style="273" bestFit="1" customWidth="1"/>
    <col min="4126" max="4354" width="9" style="273"/>
    <col min="4355" max="4355" width="3.875" style="273" bestFit="1" customWidth="1"/>
    <col min="4356" max="4356" width="16" style="273" bestFit="1" customWidth="1"/>
    <col min="4357" max="4357" width="16.625" style="273" bestFit="1" customWidth="1"/>
    <col min="4358" max="4358" width="13.5" style="273" bestFit="1" customWidth="1"/>
    <col min="4359" max="4360" width="10.875" style="273" bestFit="1" customWidth="1"/>
    <col min="4361" max="4361" width="6.25" style="273" bestFit="1" customWidth="1"/>
    <col min="4362" max="4362" width="8.875" style="273" bestFit="1" customWidth="1"/>
    <col min="4363" max="4363" width="13.875" style="273" bestFit="1" customWidth="1"/>
    <col min="4364" max="4364" width="13.25" style="273" bestFit="1" customWidth="1"/>
    <col min="4365" max="4365" width="16" style="273" bestFit="1" customWidth="1"/>
    <col min="4366" max="4366" width="11.625" style="273" bestFit="1" customWidth="1"/>
    <col min="4367" max="4367" width="16.875" style="273" customWidth="1"/>
    <col min="4368" max="4368" width="13.25" style="273" customWidth="1"/>
    <col min="4369" max="4369" width="18.375" style="273" bestFit="1" customWidth="1"/>
    <col min="4370" max="4370" width="15" style="273" bestFit="1" customWidth="1"/>
    <col min="4371" max="4371" width="14.75" style="273" bestFit="1" customWidth="1"/>
    <col min="4372" max="4372" width="14.625" style="273" bestFit="1" customWidth="1"/>
    <col min="4373" max="4373" width="13.75" style="273" bestFit="1" customWidth="1"/>
    <col min="4374" max="4374" width="14.25" style="273" bestFit="1" customWidth="1"/>
    <col min="4375" max="4375" width="15.125" style="273" customWidth="1"/>
    <col min="4376" max="4376" width="20.5" style="273" bestFit="1" customWidth="1"/>
    <col min="4377" max="4377" width="27.875" style="273" bestFit="1" customWidth="1"/>
    <col min="4378" max="4378" width="6.875" style="273" bestFit="1" customWidth="1"/>
    <col min="4379" max="4379" width="5" style="273" bestFit="1" customWidth="1"/>
    <col min="4380" max="4380" width="8" style="273" bestFit="1" customWidth="1"/>
    <col min="4381" max="4381" width="11.875" style="273" bestFit="1" customWidth="1"/>
    <col min="4382" max="4610" width="9" style="273"/>
    <col min="4611" max="4611" width="3.875" style="273" bestFit="1" customWidth="1"/>
    <col min="4612" max="4612" width="16" style="273" bestFit="1" customWidth="1"/>
    <col min="4613" max="4613" width="16.625" style="273" bestFit="1" customWidth="1"/>
    <col min="4614" max="4614" width="13.5" style="273" bestFit="1" customWidth="1"/>
    <col min="4615" max="4616" width="10.875" style="273" bestFit="1" customWidth="1"/>
    <col min="4617" max="4617" width="6.25" style="273" bestFit="1" customWidth="1"/>
    <col min="4618" max="4618" width="8.875" style="273" bestFit="1" customWidth="1"/>
    <col min="4619" max="4619" width="13.875" style="273" bestFit="1" customWidth="1"/>
    <col min="4620" max="4620" width="13.25" style="273" bestFit="1" customWidth="1"/>
    <col min="4621" max="4621" width="16" style="273" bestFit="1" customWidth="1"/>
    <col min="4622" max="4622" width="11.625" style="273" bestFit="1" customWidth="1"/>
    <col min="4623" max="4623" width="16.875" style="273" customWidth="1"/>
    <col min="4624" max="4624" width="13.25" style="273" customWidth="1"/>
    <col min="4625" max="4625" width="18.375" style="273" bestFit="1" customWidth="1"/>
    <col min="4626" max="4626" width="15" style="273" bestFit="1" customWidth="1"/>
    <col min="4627" max="4627" width="14.75" style="273" bestFit="1" customWidth="1"/>
    <col min="4628" max="4628" width="14.625" style="273" bestFit="1" customWidth="1"/>
    <col min="4629" max="4629" width="13.75" style="273" bestFit="1" customWidth="1"/>
    <col min="4630" max="4630" width="14.25" style="273" bestFit="1" customWidth="1"/>
    <col min="4631" max="4631" width="15.125" style="273" customWidth="1"/>
    <col min="4632" max="4632" width="20.5" style="273" bestFit="1" customWidth="1"/>
    <col min="4633" max="4633" width="27.875" style="273" bestFit="1" customWidth="1"/>
    <col min="4634" max="4634" width="6.875" style="273" bestFit="1" customWidth="1"/>
    <col min="4635" max="4635" width="5" style="273" bestFit="1" customWidth="1"/>
    <col min="4636" max="4636" width="8" style="273" bestFit="1" customWidth="1"/>
    <col min="4637" max="4637" width="11.875" style="273" bestFit="1" customWidth="1"/>
    <col min="4638" max="4866" width="9" style="273"/>
    <col min="4867" max="4867" width="3.875" style="273" bestFit="1" customWidth="1"/>
    <col min="4868" max="4868" width="16" style="273" bestFit="1" customWidth="1"/>
    <col min="4869" max="4869" width="16.625" style="273" bestFit="1" customWidth="1"/>
    <col min="4870" max="4870" width="13.5" style="273" bestFit="1" customWidth="1"/>
    <col min="4871" max="4872" width="10.875" style="273" bestFit="1" customWidth="1"/>
    <col min="4873" max="4873" width="6.25" style="273" bestFit="1" customWidth="1"/>
    <col min="4874" max="4874" width="8.875" style="273" bestFit="1" customWidth="1"/>
    <col min="4875" max="4875" width="13.875" style="273" bestFit="1" customWidth="1"/>
    <col min="4876" max="4876" width="13.25" style="273" bestFit="1" customWidth="1"/>
    <col min="4877" max="4877" width="16" style="273" bestFit="1" customWidth="1"/>
    <col min="4878" max="4878" width="11.625" style="273" bestFit="1" customWidth="1"/>
    <col min="4879" max="4879" width="16.875" style="273" customWidth="1"/>
    <col min="4880" max="4880" width="13.25" style="273" customWidth="1"/>
    <col min="4881" max="4881" width="18.375" style="273" bestFit="1" customWidth="1"/>
    <col min="4882" max="4882" width="15" style="273" bestFit="1" customWidth="1"/>
    <col min="4883" max="4883" width="14.75" style="273" bestFit="1" customWidth="1"/>
    <col min="4884" max="4884" width="14.625" style="273" bestFit="1" customWidth="1"/>
    <col min="4885" max="4885" width="13.75" style="273" bestFit="1" customWidth="1"/>
    <col min="4886" max="4886" width="14.25" style="273" bestFit="1" customWidth="1"/>
    <col min="4887" max="4887" width="15.125" style="273" customWidth="1"/>
    <col min="4888" max="4888" width="20.5" style="273" bestFit="1" customWidth="1"/>
    <col min="4889" max="4889" width="27.875" style="273" bestFit="1" customWidth="1"/>
    <col min="4890" max="4890" width="6.875" style="273" bestFit="1" customWidth="1"/>
    <col min="4891" max="4891" width="5" style="273" bestFit="1" customWidth="1"/>
    <col min="4892" max="4892" width="8" style="273" bestFit="1" customWidth="1"/>
    <col min="4893" max="4893" width="11.875" style="273" bestFit="1" customWidth="1"/>
    <col min="4894" max="5122" width="9" style="273"/>
    <col min="5123" max="5123" width="3.875" style="273" bestFit="1" customWidth="1"/>
    <col min="5124" max="5124" width="16" style="273" bestFit="1" customWidth="1"/>
    <col min="5125" max="5125" width="16.625" style="273" bestFit="1" customWidth="1"/>
    <col min="5126" max="5126" width="13.5" style="273" bestFit="1" customWidth="1"/>
    <col min="5127" max="5128" width="10.875" style="273" bestFit="1" customWidth="1"/>
    <col min="5129" max="5129" width="6.25" style="273" bestFit="1" customWidth="1"/>
    <col min="5130" max="5130" width="8.875" style="273" bestFit="1" customWidth="1"/>
    <col min="5131" max="5131" width="13.875" style="273" bestFit="1" customWidth="1"/>
    <col min="5132" max="5132" width="13.25" style="273" bestFit="1" customWidth="1"/>
    <col min="5133" max="5133" width="16" style="273" bestFit="1" customWidth="1"/>
    <col min="5134" max="5134" width="11.625" style="273" bestFit="1" customWidth="1"/>
    <col min="5135" max="5135" width="16.875" style="273" customWidth="1"/>
    <col min="5136" max="5136" width="13.25" style="273" customWidth="1"/>
    <col min="5137" max="5137" width="18.375" style="273" bestFit="1" customWidth="1"/>
    <col min="5138" max="5138" width="15" style="273" bestFit="1" customWidth="1"/>
    <col min="5139" max="5139" width="14.75" style="273" bestFit="1" customWidth="1"/>
    <col min="5140" max="5140" width="14.625" style="273" bestFit="1" customWidth="1"/>
    <col min="5141" max="5141" width="13.75" style="273" bestFit="1" customWidth="1"/>
    <col min="5142" max="5142" width="14.25" style="273" bestFit="1" customWidth="1"/>
    <col min="5143" max="5143" width="15.125" style="273" customWidth="1"/>
    <col min="5144" max="5144" width="20.5" style="273" bestFit="1" customWidth="1"/>
    <col min="5145" max="5145" width="27.875" style="273" bestFit="1" customWidth="1"/>
    <col min="5146" max="5146" width="6.875" style="273" bestFit="1" customWidth="1"/>
    <col min="5147" max="5147" width="5" style="273" bestFit="1" customWidth="1"/>
    <col min="5148" max="5148" width="8" style="273" bestFit="1" customWidth="1"/>
    <col min="5149" max="5149" width="11.875" style="273" bestFit="1" customWidth="1"/>
    <col min="5150" max="5378" width="9" style="273"/>
    <col min="5379" max="5379" width="3.875" style="273" bestFit="1" customWidth="1"/>
    <col min="5380" max="5380" width="16" style="273" bestFit="1" customWidth="1"/>
    <col min="5381" max="5381" width="16.625" style="273" bestFit="1" customWidth="1"/>
    <col min="5382" max="5382" width="13.5" style="273" bestFit="1" customWidth="1"/>
    <col min="5383" max="5384" width="10.875" style="273" bestFit="1" customWidth="1"/>
    <col min="5385" max="5385" width="6.25" style="273" bestFit="1" customWidth="1"/>
    <col min="5386" max="5386" width="8.875" style="273" bestFit="1" customWidth="1"/>
    <col min="5387" max="5387" width="13.875" style="273" bestFit="1" customWidth="1"/>
    <col min="5388" max="5388" width="13.25" style="273" bestFit="1" customWidth="1"/>
    <col min="5389" max="5389" width="16" style="273" bestFit="1" customWidth="1"/>
    <col min="5390" max="5390" width="11.625" style="273" bestFit="1" customWidth="1"/>
    <col min="5391" max="5391" width="16.875" style="273" customWidth="1"/>
    <col min="5392" max="5392" width="13.25" style="273" customWidth="1"/>
    <col min="5393" max="5393" width="18.375" style="273" bestFit="1" customWidth="1"/>
    <col min="5394" max="5394" width="15" style="273" bestFit="1" customWidth="1"/>
    <col min="5395" max="5395" width="14.75" style="273" bestFit="1" customWidth="1"/>
    <col min="5396" max="5396" width="14.625" style="273" bestFit="1" customWidth="1"/>
    <col min="5397" max="5397" width="13.75" style="273" bestFit="1" customWidth="1"/>
    <col min="5398" max="5398" width="14.25" style="273" bestFit="1" customWidth="1"/>
    <col min="5399" max="5399" width="15.125" style="273" customWidth="1"/>
    <col min="5400" max="5400" width="20.5" style="273" bestFit="1" customWidth="1"/>
    <col min="5401" max="5401" width="27.875" style="273" bestFit="1" customWidth="1"/>
    <col min="5402" max="5402" width="6.875" style="273" bestFit="1" customWidth="1"/>
    <col min="5403" max="5403" width="5" style="273" bestFit="1" customWidth="1"/>
    <col min="5404" max="5404" width="8" style="273" bestFit="1" customWidth="1"/>
    <col min="5405" max="5405" width="11.875" style="273" bestFit="1" customWidth="1"/>
    <col min="5406" max="5634" width="9" style="273"/>
    <col min="5635" max="5635" width="3.875" style="273" bestFit="1" customWidth="1"/>
    <col min="5636" max="5636" width="16" style="273" bestFit="1" customWidth="1"/>
    <col min="5637" max="5637" width="16.625" style="273" bestFit="1" customWidth="1"/>
    <col min="5638" max="5638" width="13.5" style="273" bestFit="1" customWidth="1"/>
    <col min="5639" max="5640" width="10.875" style="273" bestFit="1" customWidth="1"/>
    <col min="5641" max="5641" width="6.25" style="273" bestFit="1" customWidth="1"/>
    <col min="5642" max="5642" width="8.875" style="273" bestFit="1" customWidth="1"/>
    <col min="5643" max="5643" width="13.875" style="273" bestFit="1" customWidth="1"/>
    <col min="5644" max="5644" width="13.25" style="273" bestFit="1" customWidth="1"/>
    <col min="5645" max="5645" width="16" style="273" bestFit="1" customWidth="1"/>
    <col min="5646" max="5646" width="11.625" style="273" bestFit="1" customWidth="1"/>
    <col min="5647" max="5647" width="16.875" style="273" customWidth="1"/>
    <col min="5648" max="5648" width="13.25" style="273" customWidth="1"/>
    <col min="5649" max="5649" width="18.375" style="273" bestFit="1" customWidth="1"/>
    <col min="5650" max="5650" width="15" style="273" bestFit="1" customWidth="1"/>
    <col min="5651" max="5651" width="14.75" style="273" bestFit="1" customWidth="1"/>
    <col min="5652" max="5652" width="14.625" style="273" bestFit="1" customWidth="1"/>
    <col min="5653" max="5653" width="13.75" style="273" bestFit="1" customWidth="1"/>
    <col min="5654" max="5654" width="14.25" style="273" bestFit="1" customWidth="1"/>
    <col min="5655" max="5655" width="15.125" style="273" customWidth="1"/>
    <col min="5656" max="5656" width="20.5" style="273" bestFit="1" customWidth="1"/>
    <col min="5657" max="5657" width="27.875" style="273" bestFit="1" customWidth="1"/>
    <col min="5658" max="5658" width="6.875" style="273" bestFit="1" customWidth="1"/>
    <col min="5659" max="5659" width="5" style="273" bestFit="1" customWidth="1"/>
    <col min="5660" max="5660" width="8" style="273" bestFit="1" customWidth="1"/>
    <col min="5661" max="5661" width="11.875" style="273" bestFit="1" customWidth="1"/>
    <col min="5662" max="5890" width="9" style="273"/>
    <col min="5891" max="5891" width="3.875" style="273" bestFit="1" customWidth="1"/>
    <col min="5892" max="5892" width="16" style="273" bestFit="1" customWidth="1"/>
    <col min="5893" max="5893" width="16.625" style="273" bestFit="1" customWidth="1"/>
    <col min="5894" max="5894" width="13.5" style="273" bestFit="1" customWidth="1"/>
    <col min="5895" max="5896" width="10.875" style="273" bestFit="1" customWidth="1"/>
    <col min="5897" max="5897" width="6.25" style="273" bestFit="1" customWidth="1"/>
    <col min="5898" max="5898" width="8.875" style="273" bestFit="1" customWidth="1"/>
    <col min="5899" max="5899" width="13.875" style="273" bestFit="1" customWidth="1"/>
    <col min="5900" max="5900" width="13.25" style="273" bestFit="1" customWidth="1"/>
    <col min="5901" max="5901" width="16" style="273" bestFit="1" customWidth="1"/>
    <col min="5902" max="5902" width="11.625" style="273" bestFit="1" customWidth="1"/>
    <col min="5903" max="5903" width="16.875" style="273" customWidth="1"/>
    <col min="5904" max="5904" width="13.25" style="273" customWidth="1"/>
    <col min="5905" max="5905" width="18.375" style="273" bestFit="1" customWidth="1"/>
    <col min="5906" max="5906" width="15" style="273" bestFit="1" customWidth="1"/>
    <col min="5907" max="5907" width="14.75" style="273" bestFit="1" customWidth="1"/>
    <col min="5908" max="5908" width="14.625" style="273" bestFit="1" customWidth="1"/>
    <col min="5909" max="5909" width="13.75" style="273" bestFit="1" customWidth="1"/>
    <col min="5910" max="5910" width="14.25" style="273" bestFit="1" customWidth="1"/>
    <col min="5911" max="5911" width="15.125" style="273" customWidth="1"/>
    <col min="5912" max="5912" width="20.5" style="273" bestFit="1" customWidth="1"/>
    <col min="5913" max="5913" width="27.875" style="273" bestFit="1" customWidth="1"/>
    <col min="5914" max="5914" width="6.875" style="273" bestFit="1" customWidth="1"/>
    <col min="5915" max="5915" width="5" style="273" bestFit="1" customWidth="1"/>
    <col min="5916" max="5916" width="8" style="273" bestFit="1" customWidth="1"/>
    <col min="5917" max="5917" width="11.875" style="273" bestFit="1" customWidth="1"/>
    <col min="5918" max="6146" width="9" style="273"/>
    <col min="6147" max="6147" width="3.875" style="273" bestFit="1" customWidth="1"/>
    <col min="6148" max="6148" width="16" style="273" bestFit="1" customWidth="1"/>
    <col min="6149" max="6149" width="16.625" style="273" bestFit="1" customWidth="1"/>
    <col min="6150" max="6150" width="13.5" style="273" bestFit="1" customWidth="1"/>
    <col min="6151" max="6152" width="10.875" style="273" bestFit="1" customWidth="1"/>
    <col min="6153" max="6153" width="6.25" style="273" bestFit="1" customWidth="1"/>
    <col min="6154" max="6154" width="8.875" style="273" bestFit="1" customWidth="1"/>
    <col min="6155" max="6155" width="13.875" style="273" bestFit="1" customWidth="1"/>
    <col min="6156" max="6156" width="13.25" style="273" bestFit="1" customWidth="1"/>
    <col min="6157" max="6157" width="16" style="273" bestFit="1" customWidth="1"/>
    <col min="6158" max="6158" width="11.625" style="273" bestFit="1" customWidth="1"/>
    <col min="6159" max="6159" width="16.875" style="273" customWidth="1"/>
    <col min="6160" max="6160" width="13.25" style="273" customWidth="1"/>
    <col min="6161" max="6161" width="18.375" style="273" bestFit="1" customWidth="1"/>
    <col min="6162" max="6162" width="15" style="273" bestFit="1" customWidth="1"/>
    <col min="6163" max="6163" width="14.75" style="273" bestFit="1" customWidth="1"/>
    <col min="6164" max="6164" width="14.625" style="273" bestFit="1" customWidth="1"/>
    <col min="6165" max="6165" width="13.75" style="273" bestFit="1" customWidth="1"/>
    <col min="6166" max="6166" width="14.25" style="273" bestFit="1" customWidth="1"/>
    <col min="6167" max="6167" width="15.125" style="273" customWidth="1"/>
    <col min="6168" max="6168" width="20.5" style="273" bestFit="1" customWidth="1"/>
    <col min="6169" max="6169" width="27.875" style="273" bestFit="1" customWidth="1"/>
    <col min="6170" max="6170" width="6.875" style="273" bestFit="1" customWidth="1"/>
    <col min="6171" max="6171" width="5" style="273" bestFit="1" customWidth="1"/>
    <col min="6172" max="6172" width="8" style="273" bestFit="1" customWidth="1"/>
    <col min="6173" max="6173" width="11.875" style="273" bestFit="1" customWidth="1"/>
    <col min="6174" max="6402" width="9" style="273"/>
    <col min="6403" max="6403" width="3.875" style="273" bestFit="1" customWidth="1"/>
    <col min="6404" max="6404" width="16" style="273" bestFit="1" customWidth="1"/>
    <col min="6405" max="6405" width="16.625" style="273" bestFit="1" customWidth="1"/>
    <col min="6406" max="6406" width="13.5" style="273" bestFit="1" customWidth="1"/>
    <col min="6407" max="6408" width="10.875" style="273" bestFit="1" customWidth="1"/>
    <col min="6409" max="6409" width="6.25" style="273" bestFit="1" customWidth="1"/>
    <col min="6410" max="6410" width="8.875" style="273" bestFit="1" customWidth="1"/>
    <col min="6411" max="6411" width="13.875" style="273" bestFit="1" customWidth="1"/>
    <col min="6412" max="6412" width="13.25" style="273" bestFit="1" customWidth="1"/>
    <col min="6413" max="6413" width="16" style="273" bestFit="1" customWidth="1"/>
    <col min="6414" max="6414" width="11.625" style="273" bestFit="1" customWidth="1"/>
    <col min="6415" max="6415" width="16.875" style="273" customWidth="1"/>
    <col min="6416" max="6416" width="13.25" style="273" customWidth="1"/>
    <col min="6417" max="6417" width="18.375" style="273" bestFit="1" customWidth="1"/>
    <col min="6418" max="6418" width="15" style="273" bestFit="1" customWidth="1"/>
    <col min="6419" max="6419" width="14.75" style="273" bestFit="1" customWidth="1"/>
    <col min="6420" max="6420" width="14.625" style="273" bestFit="1" customWidth="1"/>
    <col min="6421" max="6421" width="13.75" style="273" bestFit="1" customWidth="1"/>
    <col min="6422" max="6422" width="14.25" style="273" bestFit="1" customWidth="1"/>
    <col min="6423" max="6423" width="15.125" style="273" customWidth="1"/>
    <col min="6424" max="6424" width="20.5" style="273" bestFit="1" customWidth="1"/>
    <col min="6425" max="6425" width="27.875" style="273" bestFit="1" customWidth="1"/>
    <col min="6426" max="6426" width="6.875" style="273" bestFit="1" customWidth="1"/>
    <col min="6427" max="6427" width="5" style="273" bestFit="1" customWidth="1"/>
    <col min="6428" max="6428" width="8" style="273" bestFit="1" customWidth="1"/>
    <col min="6429" max="6429" width="11.875" style="273" bestFit="1" customWidth="1"/>
    <col min="6430" max="6658" width="9" style="273"/>
    <col min="6659" max="6659" width="3.875" style="273" bestFit="1" customWidth="1"/>
    <col min="6660" max="6660" width="16" style="273" bestFit="1" customWidth="1"/>
    <col min="6661" max="6661" width="16.625" style="273" bestFit="1" customWidth="1"/>
    <col min="6662" max="6662" width="13.5" style="273" bestFit="1" customWidth="1"/>
    <col min="6663" max="6664" width="10.875" style="273" bestFit="1" customWidth="1"/>
    <col min="6665" max="6665" width="6.25" style="273" bestFit="1" customWidth="1"/>
    <col min="6666" max="6666" width="8.875" style="273" bestFit="1" customWidth="1"/>
    <col min="6667" max="6667" width="13.875" style="273" bestFit="1" customWidth="1"/>
    <col min="6668" max="6668" width="13.25" style="273" bestFit="1" customWidth="1"/>
    <col min="6669" max="6669" width="16" style="273" bestFit="1" customWidth="1"/>
    <col min="6670" max="6670" width="11.625" style="273" bestFit="1" customWidth="1"/>
    <col min="6671" max="6671" width="16.875" style="273" customWidth="1"/>
    <col min="6672" max="6672" width="13.25" style="273" customWidth="1"/>
    <col min="6673" max="6673" width="18.375" style="273" bestFit="1" customWidth="1"/>
    <col min="6674" max="6674" width="15" style="273" bestFit="1" customWidth="1"/>
    <col min="6675" max="6675" width="14.75" style="273" bestFit="1" customWidth="1"/>
    <col min="6676" max="6676" width="14.625" style="273" bestFit="1" customWidth="1"/>
    <col min="6677" max="6677" width="13.75" style="273" bestFit="1" customWidth="1"/>
    <col min="6678" max="6678" width="14.25" style="273" bestFit="1" customWidth="1"/>
    <col min="6679" max="6679" width="15.125" style="273" customWidth="1"/>
    <col min="6680" max="6680" width="20.5" style="273" bestFit="1" customWidth="1"/>
    <col min="6681" max="6681" width="27.875" style="273" bestFit="1" customWidth="1"/>
    <col min="6682" max="6682" width="6.875" style="273" bestFit="1" customWidth="1"/>
    <col min="6683" max="6683" width="5" style="273" bestFit="1" customWidth="1"/>
    <col min="6684" max="6684" width="8" style="273" bestFit="1" customWidth="1"/>
    <col min="6685" max="6685" width="11.875" style="273" bestFit="1" customWidth="1"/>
    <col min="6686" max="6914" width="9" style="273"/>
    <col min="6915" max="6915" width="3.875" style="273" bestFit="1" customWidth="1"/>
    <col min="6916" max="6916" width="16" style="273" bestFit="1" customWidth="1"/>
    <col min="6917" max="6917" width="16.625" style="273" bestFit="1" customWidth="1"/>
    <col min="6918" max="6918" width="13.5" style="273" bestFit="1" customWidth="1"/>
    <col min="6919" max="6920" width="10.875" style="273" bestFit="1" customWidth="1"/>
    <col min="6921" max="6921" width="6.25" style="273" bestFit="1" customWidth="1"/>
    <col min="6922" max="6922" width="8.875" style="273" bestFit="1" customWidth="1"/>
    <col min="6923" max="6923" width="13.875" style="273" bestFit="1" customWidth="1"/>
    <col min="6924" max="6924" width="13.25" style="273" bestFit="1" customWidth="1"/>
    <col min="6925" max="6925" width="16" style="273" bestFit="1" customWidth="1"/>
    <col min="6926" max="6926" width="11.625" style="273" bestFit="1" customWidth="1"/>
    <col min="6927" max="6927" width="16.875" style="273" customWidth="1"/>
    <col min="6928" max="6928" width="13.25" style="273" customWidth="1"/>
    <col min="6929" max="6929" width="18.375" style="273" bestFit="1" customWidth="1"/>
    <col min="6930" max="6930" width="15" style="273" bestFit="1" customWidth="1"/>
    <col min="6931" max="6931" width="14.75" style="273" bestFit="1" customWidth="1"/>
    <col min="6932" max="6932" width="14.625" style="273" bestFit="1" customWidth="1"/>
    <col min="6933" max="6933" width="13.75" style="273" bestFit="1" customWidth="1"/>
    <col min="6934" max="6934" width="14.25" style="273" bestFit="1" customWidth="1"/>
    <col min="6935" max="6935" width="15.125" style="273" customWidth="1"/>
    <col min="6936" max="6936" width="20.5" style="273" bestFit="1" customWidth="1"/>
    <col min="6937" max="6937" width="27.875" style="273" bestFit="1" customWidth="1"/>
    <col min="6938" max="6938" width="6.875" style="273" bestFit="1" customWidth="1"/>
    <col min="6939" max="6939" width="5" style="273" bestFit="1" customWidth="1"/>
    <col min="6940" max="6940" width="8" style="273" bestFit="1" customWidth="1"/>
    <col min="6941" max="6941" width="11.875" style="273" bestFit="1" customWidth="1"/>
    <col min="6942" max="7170" width="9" style="273"/>
    <col min="7171" max="7171" width="3.875" style="273" bestFit="1" customWidth="1"/>
    <col min="7172" max="7172" width="16" style="273" bestFit="1" customWidth="1"/>
    <col min="7173" max="7173" width="16.625" style="273" bestFit="1" customWidth="1"/>
    <col min="7174" max="7174" width="13.5" style="273" bestFit="1" customWidth="1"/>
    <col min="7175" max="7176" width="10.875" style="273" bestFit="1" customWidth="1"/>
    <col min="7177" max="7177" width="6.25" style="273" bestFit="1" customWidth="1"/>
    <col min="7178" max="7178" width="8.875" style="273" bestFit="1" customWidth="1"/>
    <col min="7179" max="7179" width="13.875" style="273" bestFit="1" customWidth="1"/>
    <col min="7180" max="7180" width="13.25" style="273" bestFit="1" customWidth="1"/>
    <col min="7181" max="7181" width="16" style="273" bestFit="1" customWidth="1"/>
    <col min="7182" max="7182" width="11.625" style="273" bestFit="1" customWidth="1"/>
    <col min="7183" max="7183" width="16.875" style="273" customWidth="1"/>
    <col min="7184" max="7184" width="13.25" style="273" customWidth="1"/>
    <col min="7185" max="7185" width="18.375" style="273" bestFit="1" customWidth="1"/>
    <col min="7186" max="7186" width="15" style="273" bestFit="1" customWidth="1"/>
    <col min="7187" max="7187" width="14.75" style="273" bestFit="1" customWidth="1"/>
    <col min="7188" max="7188" width="14.625" style="273" bestFit="1" customWidth="1"/>
    <col min="7189" max="7189" width="13.75" style="273" bestFit="1" customWidth="1"/>
    <col min="7190" max="7190" width="14.25" style="273" bestFit="1" customWidth="1"/>
    <col min="7191" max="7191" width="15.125" style="273" customWidth="1"/>
    <col min="7192" max="7192" width="20.5" style="273" bestFit="1" customWidth="1"/>
    <col min="7193" max="7193" width="27.875" style="273" bestFit="1" customWidth="1"/>
    <col min="7194" max="7194" width="6.875" style="273" bestFit="1" customWidth="1"/>
    <col min="7195" max="7195" width="5" style="273" bestFit="1" customWidth="1"/>
    <col min="7196" max="7196" width="8" style="273" bestFit="1" customWidth="1"/>
    <col min="7197" max="7197" width="11.875" style="273" bestFit="1" customWidth="1"/>
    <col min="7198" max="7426" width="9" style="273"/>
    <col min="7427" max="7427" width="3.875" style="273" bestFit="1" customWidth="1"/>
    <col min="7428" max="7428" width="16" style="273" bestFit="1" customWidth="1"/>
    <col min="7429" max="7429" width="16.625" style="273" bestFit="1" customWidth="1"/>
    <col min="7430" max="7430" width="13.5" style="273" bestFit="1" customWidth="1"/>
    <col min="7431" max="7432" width="10.875" style="273" bestFit="1" customWidth="1"/>
    <col min="7433" max="7433" width="6.25" style="273" bestFit="1" customWidth="1"/>
    <col min="7434" max="7434" width="8.875" style="273" bestFit="1" customWidth="1"/>
    <col min="7435" max="7435" width="13.875" style="273" bestFit="1" customWidth="1"/>
    <col min="7436" max="7436" width="13.25" style="273" bestFit="1" customWidth="1"/>
    <col min="7437" max="7437" width="16" style="273" bestFit="1" customWidth="1"/>
    <col min="7438" max="7438" width="11.625" style="273" bestFit="1" customWidth="1"/>
    <col min="7439" max="7439" width="16.875" style="273" customWidth="1"/>
    <col min="7440" max="7440" width="13.25" style="273" customWidth="1"/>
    <col min="7441" max="7441" width="18.375" style="273" bestFit="1" customWidth="1"/>
    <col min="7442" max="7442" width="15" style="273" bestFit="1" customWidth="1"/>
    <col min="7443" max="7443" width="14.75" style="273" bestFit="1" customWidth="1"/>
    <col min="7444" max="7444" width="14.625" style="273" bestFit="1" customWidth="1"/>
    <col min="7445" max="7445" width="13.75" style="273" bestFit="1" customWidth="1"/>
    <col min="7446" max="7446" width="14.25" style="273" bestFit="1" customWidth="1"/>
    <col min="7447" max="7447" width="15.125" style="273" customWidth="1"/>
    <col min="7448" max="7448" width="20.5" style="273" bestFit="1" customWidth="1"/>
    <col min="7449" max="7449" width="27.875" style="273" bestFit="1" customWidth="1"/>
    <col min="7450" max="7450" width="6.875" style="273" bestFit="1" customWidth="1"/>
    <col min="7451" max="7451" width="5" style="273" bestFit="1" customWidth="1"/>
    <col min="7452" max="7452" width="8" style="273" bestFit="1" customWidth="1"/>
    <col min="7453" max="7453" width="11.875" style="273" bestFit="1" customWidth="1"/>
    <col min="7454" max="7682" width="9" style="273"/>
    <col min="7683" max="7683" width="3.875" style="273" bestFit="1" customWidth="1"/>
    <col min="7684" max="7684" width="16" style="273" bestFit="1" customWidth="1"/>
    <col min="7685" max="7685" width="16.625" style="273" bestFit="1" customWidth="1"/>
    <col min="7686" max="7686" width="13.5" style="273" bestFit="1" customWidth="1"/>
    <col min="7687" max="7688" width="10.875" style="273" bestFit="1" customWidth="1"/>
    <col min="7689" max="7689" width="6.25" style="273" bestFit="1" customWidth="1"/>
    <col min="7690" max="7690" width="8.875" style="273" bestFit="1" customWidth="1"/>
    <col min="7691" max="7691" width="13.875" style="273" bestFit="1" customWidth="1"/>
    <col min="7692" max="7692" width="13.25" style="273" bestFit="1" customWidth="1"/>
    <col min="7693" max="7693" width="16" style="273" bestFit="1" customWidth="1"/>
    <col min="7694" max="7694" width="11.625" style="273" bestFit="1" customWidth="1"/>
    <col min="7695" max="7695" width="16.875" style="273" customWidth="1"/>
    <col min="7696" max="7696" width="13.25" style="273" customWidth="1"/>
    <col min="7697" max="7697" width="18.375" style="273" bestFit="1" customWidth="1"/>
    <col min="7698" max="7698" width="15" style="273" bestFit="1" customWidth="1"/>
    <col min="7699" max="7699" width="14.75" style="273" bestFit="1" customWidth="1"/>
    <col min="7700" max="7700" width="14.625" style="273" bestFit="1" customWidth="1"/>
    <col min="7701" max="7701" width="13.75" style="273" bestFit="1" customWidth="1"/>
    <col min="7702" max="7702" width="14.25" style="273" bestFit="1" customWidth="1"/>
    <col min="7703" max="7703" width="15.125" style="273" customWidth="1"/>
    <col min="7704" max="7704" width="20.5" style="273" bestFit="1" customWidth="1"/>
    <col min="7705" max="7705" width="27.875" style="273" bestFit="1" customWidth="1"/>
    <col min="7706" max="7706" width="6.875" style="273" bestFit="1" customWidth="1"/>
    <col min="7707" max="7707" width="5" style="273" bestFit="1" customWidth="1"/>
    <col min="7708" max="7708" width="8" style="273" bestFit="1" customWidth="1"/>
    <col min="7709" max="7709" width="11.875" style="273" bestFit="1" customWidth="1"/>
    <col min="7710" max="7938" width="9" style="273"/>
    <col min="7939" max="7939" width="3.875" style="273" bestFit="1" customWidth="1"/>
    <col min="7940" max="7940" width="16" style="273" bestFit="1" customWidth="1"/>
    <col min="7941" max="7941" width="16.625" style="273" bestFit="1" customWidth="1"/>
    <col min="7942" max="7942" width="13.5" style="273" bestFit="1" customWidth="1"/>
    <col min="7943" max="7944" width="10.875" style="273" bestFit="1" customWidth="1"/>
    <col min="7945" max="7945" width="6.25" style="273" bestFit="1" customWidth="1"/>
    <col min="7946" max="7946" width="8.875" style="273" bestFit="1" customWidth="1"/>
    <col min="7947" max="7947" width="13.875" style="273" bestFit="1" customWidth="1"/>
    <col min="7948" max="7948" width="13.25" style="273" bestFit="1" customWidth="1"/>
    <col min="7949" max="7949" width="16" style="273" bestFit="1" customWidth="1"/>
    <col min="7950" max="7950" width="11.625" style="273" bestFit="1" customWidth="1"/>
    <col min="7951" max="7951" width="16.875" style="273" customWidth="1"/>
    <col min="7952" max="7952" width="13.25" style="273" customWidth="1"/>
    <col min="7953" max="7953" width="18.375" style="273" bestFit="1" customWidth="1"/>
    <col min="7954" max="7954" width="15" style="273" bestFit="1" customWidth="1"/>
    <col min="7955" max="7955" width="14.75" style="273" bestFit="1" customWidth="1"/>
    <col min="7956" max="7956" width="14.625" style="273" bestFit="1" customWidth="1"/>
    <col min="7957" max="7957" width="13.75" style="273" bestFit="1" customWidth="1"/>
    <col min="7958" max="7958" width="14.25" style="273" bestFit="1" customWidth="1"/>
    <col min="7959" max="7959" width="15.125" style="273" customWidth="1"/>
    <col min="7960" max="7960" width="20.5" style="273" bestFit="1" customWidth="1"/>
    <col min="7961" max="7961" width="27.875" style="273" bestFit="1" customWidth="1"/>
    <col min="7962" max="7962" width="6.875" style="273" bestFit="1" customWidth="1"/>
    <col min="7963" max="7963" width="5" style="273" bestFit="1" customWidth="1"/>
    <col min="7964" max="7964" width="8" style="273" bestFit="1" customWidth="1"/>
    <col min="7965" max="7965" width="11.875" style="273" bestFit="1" customWidth="1"/>
    <col min="7966" max="8194" width="9" style="273"/>
    <col min="8195" max="8195" width="3.875" style="273" bestFit="1" customWidth="1"/>
    <col min="8196" max="8196" width="16" style="273" bestFit="1" customWidth="1"/>
    <col min="8197" max="8197" width="16.625" style="273" bestFit="1" customWidth="1"/>
    <col min="8198" max="8198" width="13.5" style="273" bestFit="1" customWidth="1"/>
    <col min="8199" max="8200" width="10.875" style="273" bestFit="1" customWidth="1"/>
    <col min="8201" max="8201" width="6.25" style="273" bestFit="1" customWidth="1"/>
    <col min="8202" max="8202" width="8.875" style="273" bestFit="1" customWidth="1"/>
    <col min="8203" max="8203" width="13.875" style="273" bestFit="1" customWidth="1"/>
    <col min="8204" max="8204" width="13.25" style="273" bestFit="1" customWidth="1"/>
    <col min="8205" max="8205" width="16" style="273" bestFit="1" customWidth="1"/>
    <col min="8206" max="8206" width="11.625" style="273" bestFit="1" customWidth="1"/>
    <col min="8207" max="8207" width="16.875" style="273" customWidth="1"/>
    <col min="8208" max="8208" width="13.25" style="273" customWidth="1"/>
    <col min="8209" max="8209" width="18.375" style="273" bestFit="1" customWidth="1"/>
    <col min="8210" max="8210" width="15" style="273" bestFit="1" customWidth="1"/>
    <col min="8211" max="8211" width="14.75" style="273" bestFit="1" customWidth="1"/>
    <col min="8212" max="8212" width="14.625" style="273" bestFit="1" customWidth="1"/>
    <col min="8213" max="8213" width="13.75" style="273" bestFit="1" customWidth="1"/>
    <col min="8214" max="8214" width="14.25" style="273" bestFit="1" customWidth="1"/>
    <col min="8215" max="8215" width="15.125" style="273" customWidth="1"/>
    <col min="8216" max="8216" width="20.5" style="273" bestFit="1" customWidth="1"/>
    <col min="8217" max="8217" width="27.875" style="273" bestFit="1" customWidth="1"/>
    <col min="8218" max="8218" width="6.875" style="273" bestFit="1" customWidth="1"/>
    <col min="8219" max="8219" width="5" style="273" bestFit="1" customWidth="1"/>
    <col min="8220" max="8220" width="8" style="273" bestFit="1" customWidth="1"/>
    <col min="8221" max="8221" width="11.875" style="273" bestFit="1" customWidth="1"/>
    <col min="8222" max="8450" width="9" style="273"/>
    <col min="8451" max="8451" width="3.875" style="273" bestFit="1" customWidth="1"/>
    <col min="8452" max="8452" width="16" style="273" bestFit="1" customWidth="1"/>
    <col min="8453" max="8453" width="16.625" style="273" bestFit="1" customWidth="1"/>
    <col min="8454" max="8454" width="13.5" style="273" bestFit="1" customWidth="1"/>
    <col min="8455" max="8456" width="10.875" style="273" bestFit="1" customWidth="1"/>
    <col min="8457" max="8457" width="6.25" style="273" bestFit="1" customWidth="1"/>
    <col min="8458" max="8458" width="8.875" style="273" bestFit="1" customWidth="1"/>
    <col min="8459" max="8459" width="13.875" style="273" bestFit="1" customWidth="1"/>
    <col min="8460" max="8460" width="13.25" style="273" bestFit="1" customWidth="1"/>
    <col min="8461" max="8461" width="16" style="273" bestFit="1" customWidth="1"/>
    <col min="8462" max="8462" width="11.625" style="273" bestFit="1" customWidth="1"/>
    <col min="8463" max="8463" width="16.875" style="273" customWidth="1"/>
    <col min="8464" max="8464" width="13.25" style="273" customWidth="1"/>
    <col min="8465" max="8465" width="18.375" style="273" bestFit="1" customWidth="1"/>
    <col min="8466" max="8466" width="15" style="273" bestFit="1" customWidth="1"/>
    <col min="8467" max="8467" width="14.75" style="273" bestFit="1" customWidth="1"/>
    <col min="8468" max="8468" width="14.625" style="273" bestFit="1" customWidth="1"/>
    <col min="8469" max="8469" width="13.75" style="273" bestFit="1" customWidth="1"/>
    <col min="8470" max="8470" width="14.25" style="273" bestFit="1" customWidth="1"/>
    <col min="8471" max="8471" width="15.125" style="273" customWidth="1"/>
    <col min="8472" max="8472" width="20.5" style="273" bestFit="1" customWidth="1"/>
    <col min="8473" max="8473" width="27.875" style="273" bestFit="1" customWidth="1"/>
    <col min="8474" max="8474" width="6.875" style="273" bestFit="1" customWidth="1"/>
    <col min="8475" max="8475" width="5" style="273" bestFit="1" customWidth="1"/>
    <col min="8476" max="8476" width="8" style="273" bestFit="1" customWidth="1"/>
    <col min="8477" max="8477" width="11.875" style="273" bestFit="1" customWidth="1"/>
    <col min="8478" max="8706" width="9" style="273"/>
    <col min="8707" max="8707" width="3.875" style="273" bestFit="1" customWidth="1"/>
    <col min="8708" max="8708" width="16" style="273" bestFit="1" customWidth="1"/>
    <col min="8709" max="8709" width="16.625" style="273" bestFit="1" customWidth="1"/>
    <col min="8710" max="8710" width="13.5" style="273" bestFit="1" customWidth="1"/>
    <col min="8711" max="8712" width="10.875" style="273" bestFit="1" customWidth="1"/>
    <col min="8713" max="8713" width="6.25" style="273" bestFit="1" customWidth="1"/>
    <col min="8714" max="8714" width="8.875" style="273" bestFit="1" customWidth="1"/>
    <col min="8715" max="8715" width="13.875" style="273" bestFit="1" customWidth="1"/>
    <col min="8716" max="8716" width="13.25" style="273" bestFit="1" customWidth="1"/>
    <col min="8717" max="8717" width="16" style="273" bestFit="1" customWidth="1"/>
    <col min="8718" max="8718" width="11.625" style="273" bestFit="1" customWidth="1"/>
    <col min="8719" max="8719" width="16.875" style="273" customWidth="1"/>
    <col min="8720" max="8720" width="13.25" style="273" customWidth="1"/>
    <col min="8721" max="8721" width="18.375" style="273" bestFit="1" customWidth="1"/>
    <col min="8722" max="8722" width="15" style="273" bestFit="1" customWidth="1"/>
    <col min="8723" max="8723" width="14.75" style="273" bestFit="1" customWidth="1"/>
    <col min="8724" max="8724" width="14.625" style="273" bestFit="1" customWidth="1"/>
    <col min="8725" max="8725" width="13.75" style="273" bestFit="1" customWidth="1"/>
    <col min="8726" max="8726" width="14.25" style="273" bestFit="1" customWidth="1"/>
    <col min="8727" max="8727" width="15.125" style="273" customWidth="1"/>
    <col min="8728" max="8728" width="20.5" style="273" bestFit="1" customWidth="1"/>
    <col min="8729" max="8729" width="27.875" style="273" bestFit="1" customWidth="1"/>
    <col min="8730" max="8730" width="6.875" style="273" bestFit="1" customWidth="1"/>
    <col min="8731" max="8731" width="5" style="273" bestFit="1" customWidth="1"/>
    <col min="8732" max="8732" width="8" style="273" bestFit="1" customWidth="1"/>
    <col min="8733" max="8733" width="11.875" style="273" bestFit="1" customWidth="1"/>
    <col min="8734" max="8962" width="9" style="273"/>
    <col min="8963" max="8963" width="3.875" style="273" bestFit="1" customWidth="1"/>
    <col min="8964" max="8964" width="16" style="273" bestFit="1" customWidth="1"/>
    <col min="8965" max="8965" width="16.625" style="273" bestFit="1" customWidth="1"/>
    <col min="8966" max="8966" width="13.5" style="273" bestFit="1" customWidth="1"/>
    <col min="8967" max="8968" width="10.875" style="273" bestFit="1" customWidth="1"/>
    <col min="8969" max="8969" width="6.25" style="273" bestFit="1" customWidth="1"/>
    <col min="8970" max="8970" width="8.875" style="273" bestFit="1" customWidth="1"/>
    <col min="8971" max="8971" width="13.875" style="273" bestFit="1" customWidth="1"/>
    <col min="8972" max="8972" width="13.25" style="273" bestFit="1" customWidth="1"/>
    <col min="8973" max="8973" width="16" style="273" bestFit="1" customWidth="1"/>
    <col min="8974" max="8974" width="11.625" style="273" bestFit="1" customWidth="1"/>
    <col min="8975" max="8975" width="16.875" style="273" customWidth="1"/>
    <col min="8976" max="8976" width="13.25" style="273" customWidth="1"/>
    <col min="8977" max="8977" width="18.375" style="273" bestFit="1" customWidth="1"/>
    <col min="8978" max="8978" width="15" style="273" bestFit="1" customWidth="1"/>
    <col min="8979" max="8979" width="14.75" style="273" bestFit="1" customWidth="1"/>
    <col min="8980" max="8980" width="14.625" style="273" bestFit="1" customWidth="1"/>
    <col min="8981" max="8981" width="13.75" style="273" bestFit="1" customWidth="1"/>
    <col min="8982" max="8982" width="14.25" style="273" bestFit="1" customWidth="1"/>
    <col min="8983" max="8983" width="15.125" style="273" customWidth="1"/>
    <col min="8984" max="8984" width="20.5" style="273" bestFit="1" customWidth="1"/>
    <col min="8985" max="8985" width="27.875" style="273" bestFit="1" customWidth="1"/>
    <col min="8986" max="8986" width="6.875" style="273" bestFit="1" customWidth="1"/>
    <col min="8987" max="8987" width="5" style="273" bestFit="1" customWidth="1"/>
    <col min="8988" max="8988" width="8" style="273" bestFit="1" customWidth="1"/>
    <col min="8989" max="8989" width="11.875" style="273" bestFit="1" customWidth="1"/>
    <col min="8990" max="9218" width="9" style="273"/>
    <col min="9219" max="9219" width="3.875" style="273" bestFit="1" customWidth="1"/>
    <col min="9220" max="9220" width="16" style="273" bestFit="1" customWidth="1"/>
    <col min="9221" max="9221" width="16.625" style="273" bestFit="1" customWidth="1"/>
    <col min="9222" max="9222" width="13.5" style="273" bestFit="1" customWidth="1"/>
    <col min="9223" max="9224" width="10.875" style="273" bestFit="1" customWidth="1"/>
    <col min="9225" max="9225" width="6.25" style="273" bestFit="1" customWidth="1"/>
    <col min="9226" max="9226" width="8.875" style="273" bestFit="1" customWidth="1"/>
    <col min="9227" max="9227" width="13.875" style="273" bestFit="1" customWidth="1"/>
    <col min="9228" max="9228" width="13.25" style="273" bestFit="1" customWidth="1"/>
    <col min="9229" max="9229" width="16" style="273" bestFit="1" customWidth="1"/>
    <col min="9230" max="9230" width="11.625" style="273" bestFit="1" customWidth="1"/>
    <col min="9231" max="9231" width="16.875" style="273" customWidth="1"/>
    <col min="9232" max="9232" width="13.25" style="273" customWidth="1"/>
    <col min="9233" max="9233" width="18.375" style="273" bestFit="1" customWidth="1"/>
    <col min="9234" max="9234" width="15" style="273" bestFit="1" customWidth="1"/>
    <col min="9235" max="9235" width="14.75" style="273" bestFit="1" customWidth="1"/>
    <col min="9236" max="9236" width="14.625" style="273" bestFit="1" customWidth="1"/>
    <col min="9237" max="9237" width="13.75" style="273" bestFit="1" customWidth="1"/>
    <col min="9238" max="9238" width="14.25" style="273" bestFit="1" customWidth="1"/>
    <col min="9239" max="9239" width="15.125" style="273" customWidth="1"/>
    <col min="9240" max="9240" width="20.5" style="273" bestFit="1" customWidth="1"/>
    <col min="9241" max="9241" width="27.875" style="273" bestFit="1" customWidth="1"/>
    <col min="9242" max="9242" width="6.875" style="273" bestFit="1" customWidth="1"/>
    <col min="9243" max="9243" width="5" style="273" bestFit="1" customWidth="1"/>
    <col min="9244" max="9244" width="8" style="273" bestFit="1" customWidth="1"/>
    <col min="9245" max="9245" width="11.875" style="273" bestFit="1" customWidth="1"/>
    <col min="9246" max="9474" width="9" style="273"/>
    <col min="9475" max="9475" width="3.875" style="273" bestFit="1" customWidth="1"/>
    <col min="9476" max="9476" width="16" style="273" bestFit="1" customWidth="1"/>
    <col min="9477" max="9477" width="16.625" style="273" bestFit="1" customWidth="1"/>
    <col min="9478" max="9478" width="13.5" style="273" bestFit="1" customWidth="1"/>
    <col min="9479" max="9480" width="10.875" style="273" bestFit="1" customWidth="1"/>
    <col min="9481" max="9481" width="6.25" style="273" bestFit="1" customWidth="1"/>
    <col min="9482" max="9482" width="8.875" style="273" bestFit="1" customWidth="1"/>
    <col min="9483" max="9483" width="13.875" style="273" bestFit="1" customWidth="1"/>
    <col min="9484" max="9484" width="13.25" style="273" bestFit="1" customWidth="1"/>
    <col min="9485" max="9485" width="16" style="273" bestFit="1" customWidth="1"/>
    <col min="9486" max="9486" width="11.625" style="273" bestFit="1" customWidth="1"/>
    <col min="9487" max="9487" width="16.875" style="273" customWidth="1"/>
    <col min="9488" max="9488" width="13.25" style="273" customWidth="1"/>
    <col min="9489" max="9489" width="18.375" style="273" bestFit="1" customWidth="1"/>
    <col min="9490" max="9490" width="15" style="273" bestFit="1" customWidth="1"/>
    <col min="9491" max="9491" width="14.75" style="273" bestFit="1" customWidth="1"/>
    <col min="9492" max="9492" width="14.625" style="273" bestFit="1" customWidth="1"/>
    <col min="9493" max="9493" width="13.75" style="273" bestFit="1" customWidth="1"/>
    <col min="9494" max="9494" width="14.25" style="273" bestFit="1" customWidth="1"/>
    <col min="9495" max="9495" width="15.125" style="273" customWidth="1"/>
    <col min="9496" max="9496" width="20.5" style="273" bestFit="1" customWidth="1"/>
    <col min="9497" max="9497" width="27.875" style="273" bestFit="1" customWidth="1"/>
    <col min="9498" max="9498" width="6.875" style="273" bestFit="1" customWidth="1"/>
    <col min="9499" max="9499" width="5" style="273" bestFit="1" customWidth="1"/>
    <col min="9500" max="9500" width="8" style="273" bestFit="1" customWidth="1"/>
    <col min="9501" max="9501" width="11.875" style="273" bestFit="1" customWidth="1"/>
    <col min="9502" max="9730" width="9" style="273"/>
    <col min="9731" max="9731" width="3.875" style="273" bestFit="1" customWidth="1"/>
    <col min="9732" max="9732" width="16" style="273" bestFit="1" customWidth="1"/>
    <col min="9733" max="9733" width="16.625" style="273" bestFit="1" customWidth="1"/>
    <col min="9734" max="9734" width="13.5" style="273" bestFit="1" customWidth="1"/>
    <col min="9735" max="9736" width="10.875" style="273" bestFit="1" customWidth="1"/>
    <col min="9737" max="9737" width="6.25" style="273" bestFit="1" customWidth="1"/>
    <col min="9738" max="9738" width="8.875" style="273" bestFit="1" customWidth="1"/>
    <col min="9739" max="9739" width="13.875" style="273" bestFit="1" customWidth="1"/>
    <col min="9740" max="9740" width="13.25" style="273" bestFit="1" customWidth="1"/>
    <col min="9741" max="9741" width="16" style="273" bestFit="1" customWidth="1"/>
    <col min="9742" max="9742" width="11.625" style="273" bestFit="1" customWidth="1"/>
    <col min="9743" max="9743" width="16.875" style="273" customWidth="1"/>
    <col min="9744" max="9744" width="13.25" style="273" customWidth="1"/>
    <col min="9745" max="9745" width="18.375" style="273" bestFit="1" customWidth="1"/>
    <col min="9746" max="9746" width="15" style="273" bestFit="1" customWidth="1"/>
    <col min="9747" max="9747" width="14.75" style="273" bestFit="1" customWidth="1"/>
    <col min="9748" max="9748" width="14.625" style="273" bestFit="1" customWidth="1"/>
    <col min="9749" max="9749" width="13.75" style="273" bestFit="1" customWidth="1"/>
    <col min="9750" max="9750" width="14.25" style="273" bestFit="1" customWidth="1"/>
    <col min="9751" max="9751" width="15.125" style="273" customWidth="1"/>
    <col min="9752" max="9752" width="20.5" style="273" bestFit="1" customWidth="1"/>
    <col min="9753" max="9753" width="27.875" style="273" bestFit="1" customWidth="1"/>
    <col min="9754" max="9754" width="6.875" style="273" bestFit="1" customWidth="1"/>
    <col min="9755" max="9755" width="5" style="273" bestFit="1" customWidth="1"/>
    <col min="9756" max="9756" width="8" style="273" bestFit="1" customWidth="1"/>
    <col min="9757" max="9757" width="11.875" style="273" bestFit="1" customWidth="1"/>
    <col min="9758" max="9986" width="9" style="273"/>
    <col min="9987" max="9987" width="3.875" style="273" bestFit="1" customWidth="1"/>
    <col min="9988" max="9988" width="16" style="273" bestFit="1" customWidth="1"/>
    <col min="9989" max="9989" width="16.625" style="273" bestFit="1" customWidth="1"/>
    <col min="9990" max="9990" width="13.5" style="273" bestFit="1" customWidth="1"/>
    <col min="9991" max="9992" width="10.875" style="273" bestFit="1" customWidth="1"/>
    <col min="9993" max="9993" width="6.25" style="273" bestFit="1" customWidth="1"/>
    <col min="9994" max="9994" width="8.875" style="273" bestFit="1" customWidth="1"/>
    <col min="9995" max="9995" width="13.875" style="273" bestFit="1" customWidth="1"/>
    <col min="9996" max="9996" width="13.25" style="273" bestFit="1" customWidth="1"/>
    <col min="9997" max="9997" width="16" style="273" bestFit="1" customWidth="1"/>
    <col min="9998" max="9998" width="11.625" style="273" bestFit="1" customWidth="1"/>
    <col min="9999" max="9999" width="16.875" style="273" customWidth="1"/>
    <col min="10000" max="10000" width="13.25" style="273" customWidth="1"/>
    <col min="10001" max="10001" width="18.375" style="273" bestFit="1" customWidth="1"/>
    <col min="10002" max="10002" width="15" style="273" bestFit="1" customWidth="1"/>
    <col min="10003" max="10003" width="14.75" style="273" bestFit="1" customWidth="1"/>
    <col min="10004" max="10004" width="14.625" style="273" bestFit="1" customWidth="1"/>
    <col min="10005" max="10005" width="13.75" style="273" bestFit="1" customWidth="1"/>
    <col min="10006" max="10006" width="14.25" style="273" bestFit="1" customWidth="1"/>
    <col min="10007" max="10007" width="15.125" style="273" customWidth="1"/>
    <col min="10008" max="10008" width="20.5" style="273" bestFit="1" customWidth="1"/>
    <col min="10009" max="10009" width="27.875" style="273" bestFit="1" customWidth="1"/>
    <col min="10010" max="10010" width="6.875" style="273" bestFit="1" customWidth="1"/>
    <col min="10011" max="10011" width="5" style="273" bestFit="1" customWidth="1"/>
    <col min="10012" max="10012" width="8" style="273" bestFit="1" customWidth="1"/>
    <col min="10013" max="10013" width="11.875" style="273" bestFit="1" customWidth="1"/>
    <col min="10014" max="10242" width="9" style="273"/>
    <col min="10243" max="10243" width="3.875" style="273" bestFit="1" customWidth="1"/>
    <col min="10244" max="10244" width="16" style="273" bestFit="1" customWidth="1"/>
    <col min="10245" max="10245" width="16.625" style="273" bestFit="1" customWidth="1"/>
    <col min="10246" max="10246" width="13.5" style="273" bestFit="1" customWidth="1"/>
    <col min="10247" max="10248" width="10.875" style="273" bestFit="1" customWidth="1"/>
    <col min="10249" max="10249" width="6.25" style="273" bestFit="1" customWidth="1"/>
    <col min="10250" max="10250" width="8.875" style="273" bestFit="1" customWidth="1"/>
    <col min="10251" max="10251" width="13.875" style="273" bestFit="1" customWidth="1"/>
    <col min="10252" max="10252" width="13.25" style="273" bestFit="1" customWidth="1"/>
    <col min="10253" max="10253" width="16" style="273" bestFit="1" customWidth="1"/>
    <col min="10254" max="10254" width="11.625" style="273" bestFit="1" customWidth="1"/>
    <col min="10255" max="10255" width="16.875" style="273" customWidth="1"/>
    <col min="10256" max="10256" width="13.25" style="273" customWidth="1"/>
    <col min="10257" max="10257" width="18.375" style="273" bestFit="1" customWidth="1"/>
    <col min="10258" max="10258" width="15" style="273" bestFit="1" customWidth="1"/>
    <col min="10259" max="10259" width="14.75" style="273" bestFit="1" customWidth="1"/>
    <col min="10260" max="10260" width="14.625" style="273" bestFit="1" customWidth="1"/>
    <col min="10261" max="10261" width="13.75" style="273" bestFit="1" customWidth="1"/>
    <col min="10262" max="10262" width="14.25" style="273" bestFit="1" customWidth="1"/>
    <col min="10263" max="10263" width="15.125" style="273" customWidth="1"/>
    <col min="10264" max="10264" width="20.5" style="273" bestFit="1" customWidth="1"/>
    <col min="10265" max="10265" width="27.875" style="273" bestFit="1" customWidth="1"/>
    <col min="10266" max="10266" width="6.875" style="273" bestFit="1" customWidth="1"/>
    <col min="10267" max="10267" width="5" style="273" bestFit="1" customWidth="1"/>
    <col min="10268" max="10268" width="8" style="273" bestFit="1" customWidth="1"/>
    <col min="10269" max="10269" width="11.875" style="273" bestFit="1" customWidth="1"/>
    <col min="10270" max="10498" width="9" style="273"/>
    <col min="10499" max="10499" width="3.875" style="273" bestFit="1" customWidth="1"/>
    <col min="10500" max="10500" width="16" style="273" bestFit="1" customWidth="1"/>
    <col min="10501" max="10501" width="16.625" style="273" bestFit="1" customWidth="1"/>
    <col min="10502" max="10502" width="13.5" style="273" bestFit="1" customWidth="1"/>
    <col min="10503" max="10504" width="10.875" style="273" bestFit="1" customWidth="1"/>
    <col min="10505" max="10505" width="6.25" style="273" bestFit="1" customWidth="1"/>
    <col min="10506" max="10506" width="8.875" style="273" bestFit="1" customWidth="1"/>
    <col min="10507" max="10507" width="13.875" style="273" bestFit="1" customWidth="1"/>
    <col min="10508" max="10508" width="13.25" style="273" bestFit="1" customWidth="1"/>
    <col min="10509" max="10509" width="16" style="273" bestFit="1" customWidth="1"/>
    <col min="10510" max="10510" width="11.625" style="273" bestFit="1" customWidth="1"/>
    <col min="10511" max="10511" width="16.875" style="273" customWidth="1"/>
    <col min="10512" max="10512" width="13.25" style="273" customWidth="1"/>
    <col min="10513" max="10513" width="18.375" style="273" bestFit="1" customWidth="1"/>
    <col min="10514" max="10514" width="15" style="273" bestFit="1" customWidth="1"/>
    <col min="10515" max="10515" width="14.75" style="273" bestFit="1" customWidth="1"/>
    <col min="10516" max="10516" width="14.625" style="273" bestFit="1" customWidth="1"/>
    <col min="10517" max="10517" width="13.75" style="273" bestFit="1" customWidth="1"/>
    <col min="10518" max="10518" width="14.25" style="273" bestFit="1" customWidth="1"/>
    <col min="10519" max="10519" width="15.125" style="273" customWidth="1"/>
    <col min="10520" max="10520" width="20.5" style="273" bestFit="1" customWidth="1"/>
    <col min="10521" max="10521" width="27.875" style="273" bestFit="1" customWidth="1"/>
    <col min="10522" max="10522" width="6.875" style="273" bestFit="1" customWidth="1"/>
    <col min="10523" max="10523" width="5" style="273" bestFit="1" customWidth="1"/>
    <col min="10524" max="10524" width="8" style="273" bestFit="1" customWidth="1"/>
    <col min="10525" max="10525" width="11.875" style="273" bestFit="1" customWidth="1"/>
    <col min="10526" max="10754" width="9" style="273"/>
    <col min="10755" max="10755" width="3.875" style="273" bestFit="1" customWidth="1"/>
    <col min="10756" max="10756" width="16" style="273" bestFit="1" customWidth="1"/>
    <col min="10757" max="10757" width="16.625" style="273" bestFit="1" customWidth="1"/>
    <col min="10758" max="10758" width="13.5" style="273" bestFit="1" customWidth="1"/>
    <col min="10759" max="10760" width="10.875" style="273" bestFit="1" customWidth="1"/>
    <col min="10761" max="10761" width="6.25" style="273" bestFit="1" customWidth="1"/>
    <col min="10762" max="10762" width="8.875" style="273" bestFit="1" customWidth="1"/>
    <col min="10763" max="10763" width="13.875" style="273" bestFit="1" customWidth="1"/>
    <col min="10764" max="10764" width="13.25" style="273" bestFit="1" customWidth="1"/>
    <col min="10765" max="10765" width="16" style="273" bestFit="1" customWidth="1"/>
    <col min="10766" max="10766" width="11.625" style="273" bestFit="1" customWidth="1"/>
    <col min="10767" max="10767" width="16.875" style="273" customWidth="1"/>
    <col min="10768" max="10768" width="13.25" style="273" customWidth="1"/>
    <col min="10769" max="10769" width="18.375" style="273" bestFit="1" customWidth="1"/>
    <col min="10770" max="10770" width="15" style="273" bestFit="1" customWidth="1"/>
    <col min="10771" max="10771" width="14.75" style="273" bestFit="1" customWidth="1"/>
    <col min="10772" max="10772" width="14.625" style="273" bestFit="1" customWidth="1"/>
    <col min="10773" max="10773" width="13.75" style="273" bestFit="1" customWidth="1"/>
    <col min="10774" max="10774" width="14.25" style="273" bestFit="1" customWidth="1"/>
    <col min="10775" max="10775" width="15.125" style="273" customWidth="1"/>
    <col min="10776" max="10776" width="20.5" style="273" bestFit="1" customWidth="1"/>
    <col min="10777" max="10777" width="27.875" style="273" bestFit="1" customWidth="1"/>
    <col min="10778" max="10778" width="6.875" style="273" bestFit="1" customWidth="1"/>
    <col min="10779" max="10779" width="5" style="273" bestFit="1" customWidth="1"/>
    <col min="10780" max="10780" width="8" style="273" bestFit="1" customWidth="1"/>
    <col min="10781" max="10781" width="11.875" style="273" bestFit="1" customWidth="1"/>
    <col min="10782" max="11010" width="9" style="273"/>
    <col min="11011" max="11011" width="3.875" style="273" bestFit="1" customWidth="1"/>
    <col min="11012" max="11012" width="16" style="273" bestFit="1" customWidth="1"/>
    <col min="11013" max="11013" width="16.625" style="273" bestFit="1" customWidth="1"/>
    <col min="11014" max="11014" width="13.5" style="273" bestFit="1" customWidth="1"/>
    <col min="11015" max="11016" width="10.875" style="273" bestFit="1" customWidth="1"/>
    <col min="11017" max="11017" width="6.25" style="273" bestFit="1" customWidth="1"/>
    <col min="11018" max="11018" width="8.875" style="273" bestFit="1" customWidth="1"/>
    <col min="11019" max="11019" width="13.875" style="273" bestFit="1" customWidth="1"/>
    <col min="11020" max="11020" width="13.25" style="273" bestFit="1" customWidth="1"/>
    <col min="11021" max="11021" width="16" style="273" bestFit="1" customWidth="1"/>
    <col min="11022" max="11022" width="11.625" style="273" bestFit="1" customWidth="1"/>
    <col min="11023" max="11023" width="16.875" style="273" customWidth="1"/>
    <col min="11024" max="11024" width="13.25" style="273" customWidth="1"/>
    <col min="11025" max="11025" width="18.375" style="273" bestFit="1" customWidth="1"/>
    <col min="11026" max="11026" width="15" style="273" bestFit="1" customWidth="1"/>
    <col min="11027" max="11027" width="14.75" style="273" bestFit="1" customWidth="1"/>
    <col min="11028" max="11028" width="14.625" style="273" bestFit="1" customWidth="1"/>
    <col min="11029" max="11029" width="13.75" style="273" bestFit="1" customWidth="1"/>
    <col min="11030" max="11030" width="14.25" style="273" bestFit="1" customWidth="1"/>
    <col min="11031" max="11031" width="15.125" style="273" customWidth="1"/>
    <col min="11032" max="11032" width="20.5" style="273" bestFit="1" customWidth="1"/>
    <col min="11033" max="11033" width="27.875" style="273" bestFit="1" customWidth="1"/>
    <col min="11034" max="11034" width="6.875" style="273" bestFit="1" customWidth="1"/>
    <col min="11035" max="11035" width="5" style="273" bestFit="1" customWidth="1"/>
    <col min="11036" max="11036" width="8" style="273" bestFit="1" customWidth="1"/>
    <col min="11037" max="11037" width="11.875" style="273" bestFit="1" customWidth="1"/>
    <col min="11038" max="11266" width="9" style="273"/>
    <col min="11267" max="11267" width="3.875" style="273" bestFit="1" customWidth="1"/>
    <col min="11268" max="11268" width="16" style="273" bestFit="1" customWidth="1"/>
    <col min="11269" max="11269" width="16.625" style="273" bestFit="1" customWidth="1"/>
    <col min="11270" max="11270" width="13.5" style="273" bestFit="1" customWidth="1"/>
    <col min="11271" max="11272" width="10.875" style="273" bestFit="1" customWidth="1"/>
    <col min="11273" max="11273" width="6.25" style="273" bestFit="1" customWidth="1"/>
    <col min="11274" max="11274" width="8.875" style="273" bestFit="1" customWidth="1"/>
    <col min="11275" max="11275" width="13.875" style="273" bestFit="1" customWidth="1"/>
    <col min="11276" max="11276" width="13.25" style="273" bestFit="1" customWidth="1"/>
    <col min="11277" max="11277" width="16" style="273" bestFit="1" customWidth="1"/>
    <col min="11278" max="11278" width="11.625" style="273" bestFit="1" customWidth="1"/>
    <col min="11279" max="11279" width="16.875" style="273" customWidth="1"/>
    <col min="11280" max="11280" width="13.25" style="273" customWidth="1"/>
    <col min="11281" max="11281" width="18.375" style="273" bestFit="1" customWidth="1"/>
    <col min="11282" max="11282" width="15" style="273" bestFit="1" customWidth="1"/>
    <col min="11283" max="11283" width="14.75" style="273" bestFit="1" customWidth="1"/>
    <col min="11284" max="11284" width="14.625" style="273" bestFit="1" customWidth="1"/>
    <col min="11285" max="11285" width="13.75" style="273" bestFit="1" customWidth="1"/>
    <col min="11286" max="11286" width="14.25" style="273" bestFit="1" customWidth="1"/>
    <col min="11287" max="11287" width="15.125" style="273" customWidth="1"/>
    <col min="11288" max="11288" width="20.5" style="273" bestFit="1" customWidth="1"/>
    <col min="11289" max="11289" width="27.875" style="273" bestFit="1" customWidth="1"/>
    <col min="11290" max="11290" width="6.875" style="273" bestFit="1" customWidth="1"/>
    <col min="11291" max="11291" width="5" style="273" bestFit="1" customWidth="1"/>
    <col min="11292" max="11292" width="8" style="273" bestFit="1" customWidth="1"/>
    <col min="11293" max="11293" width="11.875" style="273" bestFit="1" customWidth="1"/>
    <col min="11294" max="11522" width="9" style="273"/>
    <col min="11523" max="11523" width="3.875" style="273" bestFit="1" customWidth="1"/>
    <col min="11524" max="11524" width="16" style="273" bestFit="1" customWidth="1"/>
    <col min="11525" max="11525" width="16.625" style="273" bestFit="1" customWidth="1"/>
    <col min="11526" max="11526" width="13.5" style="273" bestFit="1" customWidth="1"/>
    <col min="11527" max="11528" width="10.875" style="273" bestFit="1" customWidth="1"/>
    <col min="11529" max="11529" width="6.25" style="273" bestFit="1" customWidth="1"/>
    <col min="11530" max="11530" width="8.875" style="273" bestFit="1" customWidth="1"/>
    <col min="11531" max="11531" width="13.875" style="273" bestFit="1" customWidth="1"/>
    <col min="11532" max="11532" width="13.25" style="273" bestFit="1" customWidth="1"/>
    <col min="11533" max="11533" width="16" style="273" bestFit="1" customWidth="1"/>
    <col min="11534" max="11534" width="11.625" style="273" bestFit="1" customWidth="1"/>
    <col min="11535" max="11535" width="16.875" style="273" customWidth="1"/>
    <col min="11536" max="11536" width="13.25" style="273" customWidth="1"/>
    <col min="11537" max="11537" width="18.375" style="273" bestFit="1" customWidth="1"/>
    <col min="11538" max="11538" width="15" style="273" bestFit="1" customWidth="1"/>
    <col min="11539" max="11539" width="14.75" style="273" bestFit="1" customWidth="1"/>
    <col min="11540" max="11540" width="14.625" style="273" bestFit="1" customWidth="1"/>
    <col min="11541" max="11541" width="13.75" style="273" bestFit="1" customWidth="1"/>
    <col min="11542" max="11542" width="14.25" style="273" bestFit="1" customWidth="1"/>
    <col min="11543" max="11543" width="15.125" style="273" customWidth="1"/>
    <col min="11544" max="11544" width="20.5" style="273" bestFit="1" customWidth="1"/>
    <col min="11545" max="11545" width="27.875" style="273" bestFit="1" customWidth="1"/>
    <col min="11546" max="11546" width="6.875" style="273" bestFit="1" customWidth="1"/>
    <col min="11547" max="11547" width="5" style="273" bestFit="1" customWidth="1"/>
    <col min="11548" max="11548" width="8" style="273" bestFit="1" customWidth="1"/>
    <col min="11549" max="11549" width="11.875" style="273" bestFit="1" customWidth="1"/>
    <col min="11550" max="11778" width="9" style="273"/>
    <col min="11779" max="11779" width="3.875" style="273" bestFit="1" customWidth="1"/>
    <col min="11780" max="11780" width="16" style="273" bestFit="1" customWidth="1"/>
    <col min="11781" max="11781" width="16.625" style="273" bestFit="1" customWidth="1"/>
    <col min="11782" max="11782" width="13.5" style="273" bestFit="1" customWidth="1"/>
    <col min="11783" max="11784" width="10.875" style="273" bestFit="1" customWidth="1"/>
    <col min="11785" max="11785" width="6.25" style="273" bestFit="1" customWidth="1"/>
    <col min="11786" max="11786" width="8.875" style="273" bestFit="1" customWidth="1"/>
    <col min="11787" max="11787" width="13.875" style="273" bestFit="1" customWidth="1"/>
    <col min="11788" max="11788" width="13.25" style="273" bestFit="1" customWidth="1"/>
    <col min="11789" max="11789" width="16" style="273" bestFit="1" customWidth="1"/>
    <col min="11790" max="11790" width="11.625" style="273" bestFit="1" customWidth="1"/>
    <col min="11791" max="11791" width="16.875" style="273" customWidth="1"/>
    <col min="11792" max="11792" width="13.25" style="273" customWidth="1"/>
    <col min="11793" max="11793" width="18.375" style="273" bestFit="1" customWidth="1"/>
    <col min="11794" max="11794" width="15" style="273" bestFit="1" customWidth="1"/>
    <col min="11795" max="11795" width="14.75" style="273" bestFit="1" customWidth="1"/>
    <col min="11796" max="11796" width="14.625" style="273" bestFit="1" customWidth="1"/>
    <col min="11797" max="11797" width="13.75" style="273" bestFit="1" customWidth="1"/>
    <col min="11798" max="11798" width="14.25" style="273" bestFit="1" customWidth="1"/>
    <col min="11799" max="11799" width="15.125" style="273" customWidth="1"/>
    <col min="11800" max="11800" width="20.5" style="273" bestFit="1" customWidth="1"/>
    <col min="11801" max="11801" width="27.875" style="273" bestFit="1" customWidth="1"/>
    <col min="11802" max="11802" width="6.875" style="273" bestFit="1" customWidth="1"/>
    <col min="11803" max="11803" width="5" style="273" bestFit="1" customWidth="1"/>
    <col min="11804" max="11804" width="8" style="273" bestFit="1" customWidth="1"/>
    <col min="11805" max="11805" width="11.875" style="273" bestFit="1" customWidth="1"/>
    <col min="11806" max="12034" width="9" style="273"/>
    <col min="12035" max="12035" width="3.875" style="273" bestFit="1" customWidth="1"/>
    <col min="12036" max="12036" width="16" style="273" bestFit="1" customWidth="1"/>
    <col min="12037" max="12037" width="16.625" style="273" bestFit="1" customWidth="1"/>
    <col min="12038" max="12038" width="13.5" style="273" bestFit="1" customWidth="1"/>
    <col min="12039" max="12040" width="10.875" style="273" bestFit="1" customWidth="1"/>
    <col min="12041" max="12041" width="6.25" style="273" bestFit="1" customWidth="1"/>
    <col min="12042" max="12042" width="8.875" style="273" bestFit="1" customWidth="1"/>
    <col min="12043" max="12043" width="13.875" style="273" bestFit="1" customWidth="1"/>
    <col min="12044" max="12044" width="13.25" style="273" bestFit="1" customWidth="1"/>
    <col min="12045" max="12045" width="16" style="273" bestFit="1" customWidth="1"/>
    <col min="12046" max="12046" width="11.625" style="273" bestFit="1" customWidth="1"/>
    <col min="12047" max="12047" width="16.875" style="273" customWidth="1"/>
    <col min="12048" max="12048" width="13.25" style="273" customWidth="1"/>
    <col min="12049" max="12049" width="18.375" style="273" bestFit="1" customWidth="1"/>
    <col min="12050" max="12050" width="15" style="273" bestFit="1" customWidth="1"/>
    <col min="12051" max="12051" width="14.75" style="273" bestFit="1" customWidth="1"/>
    <col min="12052" max="12052" width="14.625" style="273" bestFit="1" customWidth="1"/>
    <col min="12053" max="12053" width="13.75" style="273" bestFit="1" customWidth="1"/>
    <col min="12054" max="12054" width="14.25" style="273" bestFit="1" customWidth="1"/>
    <col min="12055" max="12055" width="15.125" style="273" customWidth="1"/>
    <col min="12056" max="12056" width="20.5" style="273" bestFit="1" customWidth="1"/>
    <col min="12057" max="12057" width="27.875" style="273" bestFit="1" customWidth="1"/>
    <col min="12058" max="12058" width="6.875" style="273" bestFit="1" customWidth="1"/>
    <col min="12059" max="12059" width="5" style="273" bestFit="1" customWidth="1"/>
    <col min="12060" max="12060" width="8" style="273" bestFit="1" customWidth="1"/>
    <col min="12061" max="12061" width="11.875" style="273" bestFit="1" customWidth="1"/>
    <col min="12062" max="12290" width="9" style="273"/>
    <col min="12291" max="12291" width="3.875" style="273" bestFit="1" customWidth="1"/>
    <col min="12292" max="12292" width="16" style="273" bestFit="1" customWidth="1"/>
    <col min="12293" max="12293" width="16.625" style="273" bestFit="1" customWidth="1"/>
    <col min="12294" max="12294" width="13.5" style="273" bestFit="1" customWidth="1"/>
    <col min="12295" max="12296" width="10.875" style="273" bestFit="1" customWidth="1"/>
    <col min="12297" max="12297" width="6.25" style="273" bestFit="1" customWidth="1"/>
    <col min="12298" max="12298" width="8.875" style="273" bestFit="1" customWidth="1"/>
    <col min="12299" max="12299" width="13.875" style="273" bestFit="1" customWidth="1"/>
    <col min="12300" max="12300" width="13.25" style="273" bestFit="1" customWidth="1"/>
    <col min="12301" max="12301" width="16" style="273" bestFit="1" customWidth="1"/>
    <col min="12302" max="12302" width="11.625" style="273" bestFit="1" customWidth="1"/>
    <col min="12303" max="12303" width="16.875" style="273" customWidth="1"/>
    <col min="12304" max="12304" width="13.25" style="273" customWidth="1"/>
    <col min="12305" max="12305" width="18.375" style="273" bestFit="1" customWidth="1"/>
    <col min="12306" max="12306" width="15" style="273" bestFit="1" customWidth="1"/>
    <col min="12307" max="12307" width="14.75" style="273" bestFit="1" customWidth="1"/>
    <col min="12308" max="12308" width="14.625" style="273" bestFit="1" customWidth="1"/>
    <col min="12309" max="12309" width="13.75" style="273" bestFit="1" customWidth="1"/>
    <col min="12310" max="12310" width="14.25" style="273" bestFit="1" customWidth="1"/>
    <col min="12311" max="12311" width="15.125" style="273" customWidth="1"/>
    <col min="12312" max="12312" width="20.5" style="273" bestFit="1" customWidth="1"/>
    <col min="12313" max="12313" width="27.875" style="273" bestFit="1" customWidth="1"/>
    <col min="12314" max="12314" width="6.875" style="273" bestFit="1" customWidth="1"/>
    <col min="12315" max="12315" width="5" style="273" bestFit="1" customWidth="1"/>
    <col min="12316" max="12316" width="8" style="273" bestFit="1" customWidth="1"/>
    <col min="12317" max="12317" width="11.875" style="273" bestFit="1" customWidth="1"/>
    <col min="12318" max="12546" width="9" style="273"/>
    <col min="12547" max="12547" width="3.875" style="273" bestFit="1" customWidth="1"/>
    <col min="12548" max="12548" width="16" style="273" bestFit="1" customWidth="1"/>
    <col min="12549" max="12549" width="16.625" style="273" bestFit="1" customWidth="1"/>
    <col min="12550" max="12550" width="13.5" style="273" bestFit="1" customWidth="1"/>
    <col min="12551" max="12552" width="10.875" style="273" bestFit="1" customWidth="1"/>
    <col min="12553" max="12553" width="6.25" style="273" bestFit="1" customWidth="1"/>
    <col min="12554" max="12554" width="8.875" style="273" bestFit="1" customWidth="1"/>
    <col min="12555" max="12555" width="13.875" style="273" bestFit="1" customWidth="1"/>
    <col min="12556" max="12556" width="13.25" style="273" bestFit="1" customWidth="1"/>
    <col min="12557" max="12557" width="16" style="273" bestFit="1" customWidth="1"/>
    <col min="12558" max="12558" width="11.625" style="273" bestFit="1" customWidth="1"/>
    <col min="12559" max="12559" width="16.875" style="273" customWidth="1"/>
    <col min="12560" max="12560" width="13.25" style="273" customWidth="1"/>
    <col min="12561" max="12561" width="18.375" style="273" bestFit="1" customWidth="1"/>
    <col min="12562" max="12562" width="15" style="273" bestFit="1" customWidth="1"/>
    <col min="12563" max="12563" width="14.75" style="273" bestFit="1" customWidth="1"/>
    <col min="12564" max="12564" width="14.625" style="273" bestFit="1" customWidth="1"/>
    <col min="12565" max="12565" width="13.75" style="273" bestFit="1" customWidth="1"/>
    <col min="12566" max="12566" width="14.25" style="273" bestFit="1" customWidth="1"/>
    <col min="12567" max="12567" width="15.125" style="273" customWidth="1"/>
    <col min="12568" max="12568" width="20.5" style="273" bestFit="1" customWidth="1"/>
    <col min="12569" max="12569" width="27.875" style="273" bestFit="1" customWidth="1"/>
    <col min="12570" max="12570" width="6.875" style="273" bestFit="1" customWidth="1"/>
    <col min="12571" max="12571" width="5" style="273" bestFit="1" customWidth="1"/>
    <col min="12572" max="12572" width="8" style="273" bestFit="1" customWidth="1"/>
    <col min="12573" max="12573" width="11.875" style="273" bestFit="1" customWidth="1"/>
    <col min="12574" max="12802" width="9" style="273"/>
    <col min="12803" max="12803" width="3.875" style="273" bestFit="1" customWidth="1"/>
    <col min="12804" max="12804" width="16" style="273" bestFit="1" customWidth="1"/>
    <col min="12805" max="12805" width="16.625" style="273" bestFit="1" customWidth="1"/>
    <col min="12806" max="12806" width="13.5" style="273" bestFit="1" customWidth="1"/>
    <col min="12807" max="12808" width="10.875" style="273" bestFit="1" customWidth="1"/>
    <col min="12809" max="12809" width="6.25" style="273" bestFit="1" customWidth="1"/>
    <col min="12810" max="12810" width="8.875" style="273" bestFit="1" customWidth="1"/>
    <col min="12811" max="12811" width="13.875" style="273" bestFit="1" customWidth="1"/>
    <col min="12812" max="12812" width="13.25" style="273" bestFit="1" customWidth="1"/>
    <col min="12813" max="12813" width="16" style="273" bestFit="1" customWidth="1"/>
    <col min="12814" max="12814" width="11.625" style="273" bestFit="1" customWidth="1"/>
    <col min="12815" max="12815" width="16.875" style="273" customWidth="1"/>
    <col min="12816" max="12816" width="13.25" style="273" customWidth="1"/>
    <col min="12817" max="12817" width="18.375" style="273" bestFit="1" customWidth="1"/>
    <col min="12818" max="12818" width="15" style="273" bestFit="1" customWidth="1"/>
    <col min="12819" max="12819" width="14.75" style="273" bestFit="1" customWidth="1"/>
    <col min="12820" max="12820" width="14.625" style="273" bestFit="1" customWidth="1"/>
    <col min="12821" max="12821" width="13.75" style="273" bestFit="1" customWidth="1"/>
    <col min="12822" max="12822" width="14.25" style="273" bestFit="1" customWidth="1"/>
    <col min="12823" max="12823" width="15.125" style="273" customWidth="1"/>
    <col min="12824" max="12824" width="20.5" style="273" bestFit="1" customWidth="1"/>
    <col min="12825" max="12825" width="27.875" style="273" bestFit="1" customWidth="1"/>
    <col min="12826" max="12826" width="6.875" style="273" bestFit="1" customWidth="1"/>
    <col min="12827" max="12827" width="5" style="273" bestFit="1" customWidth="1"/>
    <col min="12828" max="12828" width="8" style="273" bestFit="1" customWidth="1"/>
    <col min="12829" max="12829" width="11.875" style="273" bestFit="1" customWidth="1"/>
    <col min="12830" max="13058" width="9" style="273"/>
    <col min="13059" max="13059" width="3.875" style="273" bestFit="1" customWidth="1"/>
    <col min="13060" max="13060" width="16" style="273" bestFit="1" customWidth="1"/>
    <col min="13061" max="13061" width="16.625" style="273" bestFit="1" customWidth="1"/>
    <col min="13062" max="13062" width="13.5" style="273" bestFit="1" customWidth="1"/>
    <col min="13063" max="13064" width="10.875" style="273" bestFit="1" customWidth="1"/>
    <col min="13065" max="13065" width="6.25" style="273" bestFit="1" customWidth="1"/>
    <col min="13066" max="13066" width="8.875" style="273" bestFit="1" customWidth="1"/>
    <col min="13067" max="13067" width="13.875" style="273" bestFit="1" customWidth="1"/>
    <col min="13068" max="13068" width="13.25" style="273" bestFit="1" customWidth="1"/>
    <col min="13069" max="13069" width="16" style="273" bestFit="1" customWidth="1"/>
    <col min="13070" max="13070" width="11.625" style="273" bestFit="1" customWidth="1"/>
    <col min="13071" max="13071" width="16.875" style="273" customWidth="1"/>
    <col min="13072" max="13072" width="13.25" style="273" customWidth="1"/>
    <col min="13073" max="13073" width="18.375" style="273" bestFit="1" customWidth="1"/>
    <col min="13074" max="13074" width="15" style="273" bestFit="1" customWidth="1"/>
    <col min="13075" max="13075" width="14.75" style="273" bestFit="1" customWidth="1"/>
    <col min="13076" max="13076" width="14.625" style="273" bestFit="1" customWidth="1"/>
    <col min="13077" max="13077" width="13.75" style="273" bestFit="1" customWidth="1"/>
    <col min="13078" max="13078" width="14.25" style="273" bestFit="1" customWidth="1"/>
    <col min="13079" max="13079" width="15.125" style="273" customWidth="1"/>
    <col min="13080" max="13080" width="20.5" style="273" bestFit="1" customWidth="1"/>
    <col min="13081" max="13081" width="27.875" style="273" bestFit="1" customWidth="1"/>
    <col min="13082" max="13082" width="6.875" style="273" bestFit="1" customWidth="1"/>
    <col min="13083" max="13083" width="5" style="273" bestFit="1" customWidth="1"/>
    <col min="13084" max="13084" width="8" style="273" bestFit="1" customWidth="1"/>
    <col min="13085" max="13085" width="11.875" style="273" bestFit="1" customWidth="1"/>
    <col min="13086" max="13314" width="9" style="273"/>
    <col min="13315" max="13315" width="3.875" style="273" bestFit="1" customWidth="1"/>
    <col min="13316" max="13316" width="16" style="273" bestFit="1" customWidth="1"/>
    <col min="13317" max="13317" width="16.625" style="273" bestFit="1" customWidth="1"/>
    <col min="13318" max="13318" width="13.5" style="273" bestFit="1" customWidth="1"/>
    <col min="13319" max="13320" width="10.875" style="273" bestFit="1" customWidth="1"/>
    <col min="13321" max="13321" width="6.25" style="273" bestFit="1" customWidth="1"/>
    <col min="13322" max="13322" width="8.875" style="273" bestFit="1" customWidth="1"/>
    <col min="13323" max="13323" width="13.875" style="273" bestFit="1" customWidth="1"/>
    <col min="13324" max="13324" width="13.25" style="273" bestFit="1" customWidth="1"/>
    <col min="13325" max="13325" width="16" style="273" bestFit="1" customWidth="1"/>
    <col min="13326" max="13326" width="11.625" style="273" bestFit="1" customWidth="1"/>
    <col min="13327" max="13327" width="16.875" style="273" customWidth="1"/>
    <col min="13328" max="13328" width="13.25" style="273" customWidth="1"/>
    <col min="13329" max="13329" width="18.375" style="273" bestFit="1" customWidth="1"/>
    <col min="13330" max="13330" width="15" style="273" bestFit="1" customWidth="1"/>
    <col min="13331" max="13331" width="14.75" style="273" bestFit="1" customWidth="1"/>
    <col min="13332" max="13332" width="14.625" style="273" bestFit="1" customWidth="1"/>
    <col min="13333" max="13333" width="13.75" style="273" bestFit="1" customWidth="1"/>
    <col min="13334" max="13334" width="14.25" style="273" bestFit="1" customWidth="1"/>
    <col min="13335" max="13335" width="15.125" style="273" customWidth="1"/>
    <col min="13336" max="13336" width="20.5" style="273" bestFit="1" customWidth="1"/>
    <col min="13337" max="13337" width="27.875" style="273" bestFit="1" customWidth="1"/>
    <col min="13338" max="13338" width="6.875" style="273" bestFit="1" customWidth="1"/>
    <col min="13339" max="13339" width="5" style="273" bestFit="1" customWidth="1"/>
    <col min="13340" max="13340" width="8" style="273" bestFit="1" customWidth="1"/>
    <col min="13341" max="13341" width="11.875" style="273" bestFit="1" customWidth="1"/>
    <col min="13342" max="13570" width="9" style="273"/>
    <col min="13571" max="13571" width="3.875" style="273" bestFit="1" customWidth="1"/>
    <col min="13572" max="13572" width="16" style="273" bestFit="1" customWidth="1"/>
    <col min="13573" max="13573" width="16.625" style="273" bestFit="1" customWidth="1"/>
    <col min="13574" max="13574" width="13.5" style="273" bestFit="1" customWidth="1"/>
    <col min="13575" max="13576" width="10.875" style="273" bestFit="1" customWidth="1"/>
    <col min="13577" max="13577" width="6.25" style="273" bestFit="1" customWidth="1"/>
    <col min="13578" max="13578" width="8.875" style="273" bestFit="1" customWidth="1"/>
    <col min="13579" max="13579" width="13.875" style="273" bestFit="1" customWidth="1"/>
    <col min="13580" max="13580" width="13.25" style="273" bestFit="1" customWidth="1"/>
    <col min="13581" max="13581" width="16" style="273" bestFit="1" customWidth="1"/>
    <col min="13582" max="13582" width="11.625" style="273" bestFit="1" customWidth="1"/>
    <col min="13583" max="13583" width="16.875" style="273" customWidth="1"/>
    <col min="13584" max="13584" width="13.25" style="273" customWidth="1"/>
    <col min="13585" max="13585" width="18.375" style="273" bestFit="1" customWidth="1"/>
    <col min="13586" max="13586" width="15" style="273" bestFit="1" customWidth="1"/>
    <col min="13587" max="13587" width="14.75" style="273" bestFit="1" customWidth="1"/>
    <col min="13588" max="13588" width="14.625" style="273" bestFit="1" customWidth="1"/>
    <col min="13589" max="13589" width="13.75" style="273" bestFit="1" customWidth="1"/>
    <col min="13590" max="13590" width="14.25" style="273" bestFit="1" customWidth="1"/>
    <col min="13591" max="13591" width="15.125" style="273" customWidth="1"/>
    <col min="13592" max="13592" width="20.5" style="273" bestFit="1" customWidth="1"/>
    <col min="13593" max="13593" width="27.875" style="273" bestFit="1" customWidth="1"/>
    <col min="13594" max="13594" width="6.875" style="273" bestFit="1" customWidth="1"/>
    <col min="13595" max="13595" width="5" style="273" bestFit="1" customWidth="1"/>
    <col min="13596" max="13596" width="8" style="273" bestFit="1" customWidth="1"/>
    <col min="13597" max="13597" width="11.875" style="273" bestFit="1" customWidth="1"/>
    <col min="13598" max="13826" width="9" style="273"/>
    <col min="13827" max="13827" width="3.875" style="273" bestFit="1" customWidth="1"/>
    <col min="13828" max="13828" width="16" style="273" bestFit="1" customWidth="1"/>
    <col min="13829" max="13829" width="16.625" style="273" bestFit="1" customWidth="1"/>
    <col min="13830" max="13830" width="13.5" style="273" bestFit="1" customWidth="1"/>
    <col min="13831" max="13832" width="10.875" style="273" bestFit="1" customWidth="1"/>
    <col min="13833" max="13833" width="6.25" style="273" bestFit="1" customWidth="1"/>
    <col min="13834" max="13834" width="8.875" style="273" bestFit="1" customWidth="1"/>
    <col min="13835" max="13835" width="13.875" style="273" bestFit="1" customWidth="1"/>
    <col min="13836" max="13836" width="13.25" style="273" bestFit="1" customWidth="1"/>
    <col min="13837" max="13837" width="16" style="273" bestFit="1" customWidth="1"/>
    <col min="13838" max="13838" width="11.625" style="273" bestFit="1" customWidth="1"/>
    <col min="13839" max="13839" width="16.875" style="273" customWidth="1"/>
    <col min="13840" max="13840" width="13.25" style="273" customWidth="1"/>
    <col min="13841" max="13841" width="18.375" style="273" bestFit="1" customWidth="1"/>
    <col min="13842" max="13842" width="15" style="273" bestFit="1" customWidth="1"/>
    <col min="13843" max="13843" width="14.75" style="273" bestFit="1" customWidth="1"/>
    <col min="13844" max="13844" width="14.625" style="273" bestFit="1" customWidth="1"/>
    <col min="13845" max="13845" width="13.75" style="273" bestFit="1" customWidth="1"/>
    <col min="13846" max="13846" width="14.25" style="273" bestFit="1" customWidth="1"/>
    <col min="13847" max="13847" width="15.125" style="273" customWidth="1"/>
    <col min="13848" max="13848" width="20.5" style="273" bestFit="1" customWidth="1"/>
    <col min="13849" max="13849" width="27.875" style="273" bestFit="1" customWidth="1"/>
    <col min="13850" max="13850" width="6.875" style="273" bestFit="1" customWidth="1"/>
    <col min="13851" max="13851" width="5" style="273" bestFit="1" customWidth="1"/>
    <col min="13852" max="13852" width="8" style="273" bestFit="1" customWidth="1"/>
    <col min="13853" max="13853" width="11.875" style="273" bestFit="1" customWidth="1"/>
    <col min="13854" max="14082" width="9" style="273"/>
    <col min="14083" max="14083" width="3.875" style="273" bestFit="1" customWidth="1"/>
    <col min="14084" max="14084" width="16" style="273" bestFit="1" customWidth="1"/>
    <col min="14085" max="14085" width="16.625" style="273" bestFit="1" customWidth="1"/>
    <col min="14086" max="14086" width="13.5" style="273" bestFit="1" customWidth="1"/>
    <col min="14087" max="14088" width="10.875" style="273" bestFit="1" customWidth="1"/>
    <col min="14089" max="14089" width="6.25" style="273" bestFit="1" customWidth="1"/>
    <col min="14090" max="14090" width="8.875" style="273" bestFit="1" customWidth="1"/>
    <col min="14091" max="14091" width="13.875" style="273" bestFit="1" customWidth="1"/>
    <col min="14092" max="14092" width="13.25" style="273" bestFit="1" customWidth="1"/>
    <col min="14093" max="14093" width="16" style="273" bestFit="1" customWidth="1"/>
    <col min="14094" max="14094" width="11.625" style="273" bestFit="1" customWidth="1"/>
    <col min="14095" max="14095" width="16.875" style="273" customWidth="1"/>
    <col min="14096" max="14096" width="13.25" style="273" customWidth="1"/>
    <col min="14097" max="14097" width="18.375" style="273" bestFit="1" customWidth="1"/>
    <col min="14098" max="14098" width="15" style="273" bestFit="1" customWidth="1"/>
    <col min="14099" max="14099" width="14.75" style="273" bestFit="1" customWidth="1"/>
    <col min="14100" max="14100" width="14.625" style="273" bestFit="1" customWidth="1"/>
    <col min="14101" max="14101" width="13.75" style="273" bestFit="1" customWidth="1"/>
    <col min="14102" max="14102" width="14.25" style="273" bestFit="1" customWidth="1"/>
    <col min="14103" max="14103" width="15.125" style="273" customWidth="1"/>
    <col min="14104" max="14104" width="20.5" style="273" bestFit="1" customWidth="1"/>
    <col min="14105" max="14105" width="27.875" style="273" bestFit="1" customWidth="1"/>
    <col min="14106" max="14106" width="6.875" style="273" bestFit="1" customWidth="1"/>
    <col min="14107" max="14107" width="5" style="273" bestFit="1" customWidth="1"/>
    <col min="14108" max="14108" width="8" style="273" bestFit="1" customWidth="1"/>
    <col min="14109" max="14109" width="11.875" style="273" bestFit="1" customWidth="1"/>
    <col min="14110" max="14338" width="9" style="273"/>
    <col min="14339" max="14339" width="3.875" style="273" bestFit="1" customWidth="1"/>
    <col min="14340" max="14340" width="16" style="273" bestFit="1" customWidth="1"/>
    <col min="14341" max="14341" width="16.625" style="273" bestFit="1" customWidth="1"/>
    <col min="14342" max="14342" width="13.5" style="273" bestFit="1" customWidth="1"/>
    <col min="14343" max="14344" width="10.875" style="273" bestFit="1" customWidth="1"/>
    <col min="14345" max="14345" width="6.25" style="273" bestFit="1" customWidth="1"/>
    <col min="14346" max="14346" width="8.875" style="273" bestFit="1" customWidth="1"/>
    <col min="14347" max="14347" width="13.875" style="273" bestFit="1" customWidth="1"/>
    <col min="14348" max="14348" width="13.25" style="273" bestFit="1" customWidth="1"/>
    <col min="14349" max="14349" width="16" style="273" bestFit="1" customWidth="1"/>
    <col min="14350" max="14350" width="11.625" style="273" bestFit="1" customWidth="1"/>
    <col min="14351" max="14351" width="16.875" style="273" customWidth="1"/>
    <col min="14352" max="14352" width="13.25" style="273" customWidth="1"/>
    <col min="14353" max="14353" width="18.375" style="273" bestFit="1" customWidth="1"/>
    <col min="14354" max="14354" width="15" style="273" bestFit="1" customWidth="1"/>
    <col min="14355" max="14355" width="14.75" style="273" bestFit="1" customWidth="1"/>
    <col min="14356" max="14356" width="14.625" style="273" bestFit="1" customWidth="1"/>
    <col min="14357" max="14357" width="13.75" style="273" bestFit="1" customWidth="1"/>
    <col min="14358" max="14358" width="14.25" style="273" bestFit="1" customWidth="1"/>
    <col min="14359" max="14359" width="15.125" style="273" customWidth="1"/>
    <col min="14360" max="14360" width="20.5" style="273" bestFit="1" customWidth="1"/>
    <col min="14361" max="14361" width="27.875" style="273" bestFit="1" customWidth="1"/>
    <col min="14362" max="14362" width="6.875" style="273" bestFit="1" customWidth="1"/>
    <col min="14363" max="14363" width="5" style="273" bestFit="1" customWidth="1"/>
    <col min="14364" max="14364" width="8" style="273" bestFit="1" customWidth="1"/>
    <col min="14365" max="14365" width="11.875" style="273" bestFit="1" customWidth="1"/>
    <col min="14366" max="14594" width="9" style="273"/>
    <col min="14595" max="14595" width="3.875" style="273" bestFit="1" customWidth="1"/>
    <col min="14596" max="14596" width="16" style="273" bestFit="1" customWidth="1"/>
    <col min="14597" max="14597" width="16.625" style="273" bestFit="1" customWidth="1"/>
    <col min="14598" max="14598" width="13.5" style="273" bestFit="1" customWidth="1"/>
    <col min="14599" max="14600" width="10.875" style="273" bestFit="1" customWidth="1"/>
    <col min="14601" max="14601" width="6.25" style="273" bestFit="1" customWidth="1"/>
    <col min="14602" max="14602" width="8.875" style="273" bestFit="1" customWidth="1"/>
    <col min="14603" max="14603" width="13.875" style="273" bestFit="1" customWidth="1"/>
    <col min="14604" max="14604" width="13.25" style="273" bestFit="1" customWidth="1"/>
    <col min="14605" max="14605" width="16" style="273" bestFit="1" customWidth="1"/>
    <col min="14606" max="14606" width="11.625" style="273" bestFit="1" customWidth="1"/>
    <col min="14607" max="14607" width="16.875" style="273" customWidth="1"/>
    <col min="14608" max="14608" width="13.25" style="273" customWidth="1"/>
    <col min="14609" max="14609" width="18.375" style="273" bestFit="1" customWidth="1"/>
    <col min="14610" max="14610" width="15" style="273" bestFit="1" customWidth="1"/>
    <col min="14611" max="14611" width="14.75" style="273" bestFit="1" customWidth="1"/>
    <col min="14612" max="14612" width="14.625" style="273" bestFit="1" customWidth="1"/>
    <col min="14613" max="14613" width="13.75" style="273" bestFit="1" customWidth="1"/>
    <col min="14614" max="14614" width="14.25" style="273" bestFit="1" customWidth="1"/>
    <col min="14615" max="14615" width="15.125" style="273" customWidth="1"/>
    <col min="14616" max="14616" width="20.5" style="273" bestFit="1" customWidth="1"/>
    <col min="14617" max="14617" width="27.875" style="273" bestFit="1" customWidth="1"/>
    <col min="14618" max="14618" width="6.875" style="273" bestFit="1" customWidth="1"/>
    <col min="14619" max="14619" width="5" style="273" bestFit="1" customWidth="1"/>
    <col min="14620" max="14620" width="8" style="273" bestFit="1" customWidth="1"/>
    <col min="14621" max="14621" width="11.875" style="273" bestFit="1" customWidth="1"/>
    <col min="14622" max="14850" width="9" style="273"/>
    <col min="14851" max="14851" width="3.875" style="273" bestFit="1" customWidth="1"/>
    <col min="14852" max="14852" width="16" style="273" bestFit="1" customWidth="1"/>
    <col min="14853" max="14853" width="16.625" style="273" bestFit="1" customWidth="1"/>
    <col min="14854" max="14854" width="13.5" style="273" bestFit="1" customWidth="1"/>
    <col min="14855" max="14856" width="10.875" style="273" bestFit="1" customWidth="1"/>
    <col min="14857" max="14857" width="6.25" style="273" bestFit="1" customWidth="1"/>
    <col min="14858" max="14858" width="8.875" style="273" bestFit="1" customWidth="1"/>
    <col min="14859" max="14859" width="13.875" style="273" bestFit="1" customWidth="1"/>
    <col min="14860" max="14860" width="13.25" style="273" bestFit="1" customWidth="1"/>
    <col min="14861" max="14861" width="16" style="273" bestFit="1" customWidth="1"/>
    <col min="14862" max="14862" width="11.625" style="273" bestFit="1" customWidth="1"/>
    <col min="14863" max="14863" width="16.875" style="273" customWidth="1"/>
    <col min="14864" max="14864" width="13.25" style="273" customWidth="1"/>
    <col min="14865" max="14865" width="18.375" style="273" bestFit="1" customWidth="1"/>
    <col min="14866" max="14866" width="15" style="273" bestFit="1" customWidth="1"/>
    <col min="14867" max="14867" width="14.75" style="273" bestFit="1" customWidth="1"/>
    <col min="14868" max="14868" width="14.625" style="273" bestFit="1" customWidth="1"/>
    <col min="14869" max="14869" width="13.75" style="273" bestFit="1" customWidth="1"/>
    <col min="14870" max="14870" width="14.25" style="273" bestFit="1" customWidth="1"/>
    <col min="14871" max="14871" width="15.125" style="273" customWidth="1"/>
    <col min="14872" max="14872" width="20.5" style="273" bestFit="1" customWidth="1"/>
    <col min="14873" max="14873" width="27.875" style="273" bestFit="1" customWidth="1"/>
    <col min="14874" max="14874" width="6.875" style="273" bestFit="1" customWidth="1"/>
    <col min="14875" max="14875" width="5" style="273" bestFit="1" customWidth="1"/>
    <col min="14876" max="14876" width="8" style="273" bestFit="1" customWidth="1"/>
    <col min="14877" max="14877" width="11.875" style="273" bestFit="1" customWidth="1"/>
    <col min="14878" max="15106" width="9" style="273"/>
    <col min="15107" max="15107" width="3.875" style="273" bestFit="1" customWidth="1"/>
    <col min="15108" max="15108" width="16" style="273" bestFit="1" customWidth="1"/>
    <col min="15109" max="15109" width="16.625" style="273" bestFit="1" customWidth="1"/>
    <col min="15110" max="15110" width="13.5" style="273" bestFit="1" customWidth="1"/>
    <col min="15111" max="15112" width="10.875" style="273" bestFit="1" customWidth="1"/>
    <col min="15113" max="15113" width="6.25" style="273" bestFit="1" customWidth="1"/>
    <col min="15114" max="15114" width="8.875" style="273" bestFit="1" customWidth="1"/>
    <col min="15115" max="15115" width="13.875" style="273" bestFit="1" customWidth="1"/>
    <col min="15116" max="15116" width="13.25" style="273" bestFit="1" customWidth="1"/>
    <col min="15117" max="15117" width="16" style="273" bestFit="1" customWidth="1"/>
    <col min="15118" max="15118" width="11.625" style="273" bestFit="1" customWidth="1"/>
    <col min="15119" max="15119" width="16.875" style="273" customWidth="1"/>
    <col min="15120" max="15120" width="13.25" style="273" customWidth="1"/>
    <col min="15121" max="15121" width="18.375" style="273" bestFit="1" customWidth="1"/>
    <col min="15122" max="15122" width="15" style="273" bestFit="1" customWidth="1"/>
    <col min="15123" max="15123" width="14.75" style="273" bestFit="1" customWidth="1"/>
    <col min="15124" max="15124" width="14.625" style="273" bestFit="1" customWidth="1"/>
    <col min="15125" max="15125" width="13.75" style="273" bestFit="1" customWidth="1"/>
    <col min="15126" max="15126" width="14.25" style="273" bestFit="1" customWidth="1"/>
    <col min="15127" max="15127" width="15.125" style="273" customWidth="1"/>
    <col min="15128" max="15128" width="20.5" style="273" bestFit="1" customWidth="1"/>
    <col min="15129" max="15129" width="27.875" style="273" bestFit="1" customWidth="1"/>
    <col min="15130" max="15130" width="6.875" style="273" bestFit="1" customWidth="1"/>
    <col min="15131" max="15131" width="5" style="273" bestFit="1" customWidth="1"/>
    <col min="15132" max="15132" width="8" style="273" bestFit="1" customWidth="1"/>
    <col min="15133" max="15133" width="11.875" style="273" bestFit="1" customWidth="1"/>
    <col min="15134" max="15362" width="9" style="273"/>
    <col min="15363" max="15363" width="3.875" style="273" bestFit="1" customWidth="1"/>
    <col min="15364" max="15364" width="16" style="273" bestFit="1" customWidth="1"/>
    <col min="15365" max="15365" width="16.625" style="273" bestFit="1" customWidth="1"/>
    <col min="15366" max="15366" width="13.5" style="273" bestFit="1" customWidth="1"/>
    <col min="15367" max="15368" width="10.875" style="273" bestFit="1" customWidth="1"/>
    <col min="15369" max="15369" width="6.25" style="273" bestFit="1" customWidth="1"/>
    <col min="15370" max="15370" width="8.875" style="273" bestFit="1" customWidth="1"/>
    <col min="15371" max="15371" width="13.875" style="273" bestFit="1" customWidth="1"/>
    <col min="15372" max="15372" width="13.25" style="273" bestFit="1" customWidth="1"/>
    <col min="15373" max="15373" width="16" style="273" bestFit="1" customWidth="1"/>
    <col min="15374" max="15374" width="11.625" style="273" bestFit="1" customWidth="1"/>
    <col min="15375" max="15375" width="16.875" style="273" customWidth="1"/>
    <col min="15376" max="15376" width="13.25" style="273" customWidth="1"/>
    <col min="15377" max="15377" width="18.375" style="273" bestFit="1" customWidth="1"/>
    <col min="15378" max="15378" width="15" style="273" bestFit="1" customWidth="1"/>
    <col min="15379" max="15379" width="14.75" style="273" bestFit="1" customWidth="1"/>
    <col min="15380" max="15380" width="14.625" style="273" bestFit="1" customWidth="1"/>
    <col min="15381" max="15381" width="13.75" style="273" bestFit="1" customWidth="1"/>
    <col min="15382" max="15382" width="14.25" style="273" bestFit="1" customWidth="1"/>
    <col min="15383" max="15383" width="15.125" style="273" customWidth="1"/>
    <col min="15384" max="15384" width="20.5" style="273" bestFit="1" customWidth="1"/>
    <col min="15385" max="15385" width="27.875" style="273" bestFit="1" customWidth="1"/>
    <col min="15386" max="15386" width="6.875" style="273" bestFit="1" customWidth="1"/>
    <col min="15387" max="15387" width="5" style="273" bestFit="1" customWidth="1"/>
    <col min="15388" max="15388" width="8" style="273" bestFit="1" customWidth="1"/>
    <col min="15389" max="15389" width="11.875" style="273" bestFit="1" customWidth="1"/>
    <col min="15390" max="15618" width="9" style="273"/>
    <col min="15619" max="15619" width="3.875" style="273" bestFit="1" customWidth="1"/>
    <col min="15620" max="15620" width="16" style="273" bestFit="1" customWidth="1"/>
    <col min="15621" max="15621" width="16.625" style="273" bestFit="1" customWidth="1"/>
    <col min="15622" max="15622" width="13.5" style="273" bestFit="1" customWidth="1"/>
    <col min="15623" max="15624" width="10.875" style="273" bestFit="1" customWidth="1"/>
    <col min="15625" max="15625" width="6.25" style="273" bestFit="1" customWidth="1"/>
    <col min="15626" max="15626" width="8.875" style="273" bestFit="1" customWidth="1"/>
    <col min="15627" max="15627" width="13.875" style="273" bestFit="1" customWidth="1"/>
    <col min="15628" max="15628" width="13.25" style="273" bestFit="1" customWidth="1"/>
    <col min="15629" max="15629" width="16" style="273" bestFit="1" customWidth="1"/>
    <col min="15630" max="15630" width="11.625" style="273" bestFit="1" customWidth="1"/>
    <col min="15631" max="15631" width="16.875" style="273" customWidth="1"/>
    <col min="15632" max="15632" width="13.25" style="273" customWidth="1"/>
    <col min="15633" max="15633" width="18.375" style="273" bestFit="1" customWidth="1"/>
    <col min="15634" max="15634" width="15" style="273" bestFit="1" customWidth="1"/>
    <col min="15635" max="15635" width="14.75" style="273" bestFit="1" customWidth="1"/>
    <col min="15636" max="15636" width="14.625" style="273" bestFit="1" customWidth="1"/>
    <col min="15637" max="15637" width="13.75" style="273" bestFit="1" customWidth="1"/>
    <col min="15638" max="15638" width="14.25" style="273" bestFit="1" customWidth="1"/>
    <col min="15639" max="15639" width="15.125" style="273" customWidth="1"/>
    <col min="15640" max="15640" width="20.5" style="273" bestFit="1" customWidth="1"/>
    <col min="15641" max="15641" width="27.875" style="273" bestFit="1" customWidth="1"/>
    <col min="15642" max="15642" width="6.875" style="273" bestFit="1" customWidth="1"/>
    <col min="15643" max="15643" width="5" style="273" bestFit="1" customWidth="1"/>
    <col min="15644" max="15644" width="8" style="273" bestFit="1" customWidth="1"/>
    <col min="15645" max="15645" width="11.875" style="273" bestFit="1" customWidth="1"/>
    <col min="15646" max="15874" width="9" style="273"/>
    <col min="15875" max="15875" width="3.875" style="273" bestFit="1" customWidth="1"/>
    <col min="15876" max="15876" width="16" style="273" bestFit="1" customWidth="1"/>
    <col min="15877" max="15877" width="16.625" style="273" bestFit="1" customWidth="1"/>
    <col min="15878" max="15878" width="13.5" style="273" bestFit="1" customWidth="1"/>
    <col min="15879" max="15880" width="10.875" style="273" bestFit="1" customWidth="1"/>
    <col min="15881" max="15881" width="6.25" style="273" bestFit="1" customWidth="1"/>
    <col min="15882" max="15882" width="8.875" style="273" bestFit="1" customWidth="1"/>
    <col min="15883" max="15883" width="13.875" style="273" bestFit="1" customWidth="1"/>
    <col min="15884" max="15884" width="13.25" style="273" bestFit="1" customWidth="1"/>
    <col min="15885" max="15885" width="16" style="273" bestFit="1" customWidth="1"/>
    <col min="15886" max="15886" width="11.625" style="273" bestFit="1" customWidth="1"/>
    <col min="15887" max="15887" width="16.875" style="273" customWidth="1"/>
    <col min="15888" max="15888" width="13.25" style="273" customWidth="1"/>
    <col min="15889" max="15889" width="18.375" style="273" bestFit="1" customWidth="1"/>
    <col min="15890" max="15890" width="15" style="273" bestFit="1" customWidth="1"/>
    <col min="15891" max="15891" width="14.75" style="273" bestFit="1" customWidth="1"/>
    <col min="15892" max="15892" width="14.625" style="273" bestFit="1" customWidth="1"/>
    <col min="15893" max="15893" width="13.75" style="273" bestFit="1" customWidth="1"/>
    <col min="15894" max="15894" width="14.25" style="273" bestFit="1" customWidth="1"/>
    <col min="15895" max="15895" width="15.125" style="273" customWidth="1"/>
    <col min="15896" max="15896" width="20.5" style="273" bestFit="1" customWidth="1"/>
    <col min="15897" max="15897" width="27.875" style="273" bestFit="1" customWidth="1"/>
    <col min="15898" max="15898" width="6.875" style="273" bestFit="1" customWidth="1"/>
    <col min="15899" max="15899" width="5" style="273" bestFit="1" customWidth="1"/>
    <col min="15900" max="15900" width="8" style="273" bestFit="1" customWidth="1"/>
    <col min="15901" max="15901" width="11.875" style="273" bestFit="1" customWidth="1"/>
    <col min="15902" max="16130" width="9" style="273"/>
    <col min="16131" max="16131" width="3.875" style="273" bestFit="1" customWidth="1"/>
    <col min="16132" max="16132" width="16" style="273" bestFit="1" customWidth="1"/>
    <col min="16133" max="16133" width="16.625" style="273" bestFit="1" customWidth="1"/>
    <col min="16134" max="16134" width="13.5" style="273" bestFit="1" customWidth="1"/>
    <col min="16135" max="16136" width="10.875" style="273" bestFit="1" customWidth="1"/>
    <col min="16137" max="16137" width="6.25" style="273" bestFit="1" customWidth="1"/>
    <col min="16138" max="16138" width="8.875" style="273" bestFit="1" customWidth="1"/>
    <col min="16139" max="16139" width="13.875" style="273" bestFit="1" customWidth="1"/>
    <col min="16140" max="16140" width="13.25" style="273" bestFit="1" customWidth="1"/>
    <col min="16141" max="16141" width="16" style="273" bestFit="1" customWidth="1"/>
    <col min="16142" max="16142" width="11.625" style="273" bestFit="1" customWidth="1"/>
    <col min="16143" max="16143" width="16.875" style="273" customWidth="1"/>
    <col min="16144" max="16144" width="13.25" style="273" customWidth="1"/>
    <col min="16145" max="16145" width="18.375" style="273" bestFit="1" customWidth="1"/>
    <col min="16146" max="16146" width="15" style="273" bestFit="1" customWidth="1"/>
    <col min="16147" max="16147" width="14.75" style="273" bestFit="1" customWidth="1"/>
    <col min="16148" max="16148" width="14.625" style="273" bestFit="1" customWidth="1"/>
    <col min="16149" max="16149" width="13.75" style="273" bestFit="1" customWidth="1"/>
    <col min="16150" max="16150" width="14.25" style="273" bestFit="1" customWidth="1"/>
    <col min="16151" max="16151" width="15.125" style="273" customWidth="1"/>
    <col min="16152" max="16152" width="20.5" style="273" bestFit="1" customWidth="1"/>
    <col min="16153" max="16153" width="27.875" style="273" bestFit="1" customWidth="1"/>
    <col min="16154" max="16154" width="6.875" style="273" bestFit="1" customWidth="1"/>
    <col min="16155" max="16155" width="5" style="273" bestFit="1" customWidth="1"/>
    <col min="16156" max="16156" width="8" style="273" bestFit="1" customWidth="1"/>
    <col min="16157" max="16157" width="11.875" style="273" bestFit="1" customWidth="1"/>
    <col min="16158" max="16384" width="9" style="273"/>
  </cols>
  <sheetData>
    <row r="1" spans="1:45" x14ac:dyDescent="0.45">
      <c r="E1" s="249"/>
      <c r="F1" s="249"/>
      <c r="G1" s="249"/>
      <c r="H1" s="249"/>
      <c r="I1" s="249"/>
      <c r="J1" s="249"/>
      <c r="K1" s="249"/>
      <c r="L1" s="249"/>
      <c r="M1" s="249"/>
      <c r="R1" s="275" t="s">
        <v>353</v>
      </c>
    </row>
    <row r="2" spans="1:45" x14ac:dyDescent="0.45">
      <c r="E2" s="249"/>
      <c r="F2" s="249"/>
      <c r="G2" s="249"/>
      <c r="H2" s="249"/>
      <c r="I2" s="249"/>
      <c r="J2" s="249"/>
      <c r="K2" s="249"/>
      <c r="L2" s="249"/>
      <c r="M2" s="249"/>
      <c r="R2" s="277" t="s">
        <v>1</v>
      </c>
    </row>
    <row r="3" spans="1:45" x14ac:dyDescent="0.45">
      <c r="E3" s="249"/>
      <c r="F3" s="249"/>
      <c r="G3" s="249"/>
      <c r="H3" s="249"/>
      <c r="I3" s="249"/>
      <c r="J3" s="249"/>
      <c r="K3" s="249"/>
      <c r="L3" s="249"/>
      <c r="M3" s="249"/>
      <c r="R3" s="277" t="s">
        <v>265</v>
      </c>
    </row>
    <row r="4" spans="1:45" x14ac:dyDescent="0.45">
      <c r="A4" s="1253" t="s">
        <v>400</v>
      </c>
      <c r="B4" s="1253"/>
      <c r="C4" s="1253"/>
      <c r="D4" s="1253"/>
      <c r="E4" s="1253"/>
      <c r="F4" s="1253"/>
      <c r="G4" s="1253"/>
      <c r="H4" s="1253"/>
      <c r="I4" s="1253"/>
      <c r="J4" s="1253"/>
      <c r="K4" s="1253"/>
      <c r="L4" s="1253"/>
      <c r="M4" s="1253"/>
      <c r="N4" s="1253"/>
      <c r="O4" s="1253"/>
      <c r="P4" s="1253"/>
      <c r="Q4" s="1253"/>
      <c r="R4" s="1253"/>
    </row>
    <row r="5" spans="1:45" x14ac:dyDescent="0.45">
      <c r="A5" s="278"/>
      <c r="B5" s="278"/>
      <c r="C5" s="278"/>
      <c r="D5" s="278"/>
      <c r="E5" s="278"/>
      <c r="F5" s="278"/>
      <c r="G5" s="278"/>
      <c r="H5" s="278"/>
      <c r="I5" s="278"/>
      <c r="J5" s="278"/>
      <c r="K5" s="278"/>
      <c r="L5" s="278"/>
      <c r="M5" s="278"/>
      <c r="N5" s="278"/>
      <c r="O5" s="278"/>
      <c r="P5" s="278"/>
      <c r="Q5" s="278"/>
      <c r="R5" s="278"/>
    </row>
    <row r="6" spans="1:45" s="236" customFormat="1" ht="40.5" customHeight="1" x14ac:dyDescent="0.45">
      <c r="A6" s="1124" t="s">
        <v>853</v>
      </c>
      <c r="B6" s="1124"/>
      <c r="C6" s="1124"/>
      <c r="D6" s="1124"/>
      <c r="E6" s="1124"/>
      <c r="F6" s="1124"/>
      <c r="G6" s="1124"/>
      <c r="H6" s="1124"/>
      <c r="I6" s="1124"/>
      <c r="J6" s="1124"/>
      <c r="K6" s="1124"/>
      <c r="L6" s="1124"/>
      <c r="M6" s="1124"/>
      <c r="N6" s="1124"/>
      <c r="O6" s="1124"/>
      <c r="P6" s="1124"/>
      <c r="Q6" s="1124"/>
      <c r="R6" s="1124"/>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row>
    <row r="7" spans="1:45" s="236" customFormat="1" ht="40.5" customHeight="1" x14ac:dyDescent="0.45">
      <c r="A7" s="1125" t="s">
        <v>313</v>
      </c>
      <c r="B7" s="1125"/>
      <c r="C7" s="1125"/>
      <c r="D7" s="1125"/>
      <c r="E7" s="1125"/>
      <c r="F7" s="1125"/>
      <c r="G7" s="1125"/>
      <c r="H7" s="1125"/>
      <c r="I7" s="1125"/>
      <c r="J7" s="1125"/>
      <c r="K7" s="1125"/>
      <c r="L7" s="1125"/>
      <c r="M7" s="1125"/>
      <c r="N7" s="1125"/>
      <c r="O7" s="1125"/>
      <c r="P7" s="1125"/>
      <c r="Q7" s="1125"/>
      <c r="R7" s="1125"/>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row>
    <row r="8" spans="1:45" s="236" customFormat="1" x14ac:dyDescent="0.45">
      <c r="A8" s="1254"/>
      <c r="B8" s="1254"/>
      <c r="C8" s="1254"/>
      <c r="D8" s="1254"/>
      <c r="E8" s="1254"/>
      <c r="F8" s="1254"/>
      <c r="G8" s="1254"/>
      <c r="H8" s="1254"/>
      <c r="I8" s="1254"/>
      <c r="J8" s="1254"/>
      <c r="K8" s="1254"/>
      <c r="L8" s="1254"/>
      <c r="M8" s="1254"/>
      <c r="N8" s="1254"/>
      <c r="O8" s="1254"/>
      <c r="P8" s="1254"/>
      <c r="Q8" s="1254"/>
      <c r="R8" s="1254"/>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row>
    <row r="9" spans="1:45" s="236" customFormat="1" ht="36.75" customHeight="1" x14ac:dyDescent="0.45">
      <c r="A9" s="1124" t="s">
        <v>1711</v>
      </c>
      <c r="B9" s="1124"/>
      <c r="C9" s="1124"/>
      <c r="D9" s="1124"/>
      <c r="E9" s="1124"/>
      <c r="F9" s="1124"/>
      <c r="G9" s="1124"/>
      <c r="H9" s="1124"/>
      <c r="I9" s="1124"/>
      <c r="J9" s="1124"/>
      <c r="K9" s="1124"/>
      <c r="L9" s="1124"/>
      <c r="M9" s="1124"/>
      <c r="N9" s="1124"/>
      <c r="O9" s="1124"/>
      <c r="P9" s="1124"/>
      <c r="Q9" s="1124"/>
      <c r="R9" s="1124"/>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row>
    <row r="10" spans="1:45" ht="15" customHeight="1" x14ac:dyDescent="0.45">
      <c r="A10" s="1252"/>
      <c r="B10" s="1252"/>
      <c r="C10" s="1252"/>
      <c r="D10" s="1252"/>
      <c r="E10" s="1252"/>
      <c r="F10" s="1252"/>
      <c r="G10" s="1252"/>
      <c r="H10" s="1252"/>
      <c r="I10" s="1252"/>
      <c r="J10" s="1252"/>
      <c r="K10" s="1252"/>
      <c r="L10" s="1252"/>
      <c r="M10" s="1252"/>
      <c r="N10" s="1252"/>
      <c r="O10" s="1252"/>
      <c r="P10" s="1252"/>
      <c r="Q10" s="1252"/>
      <c r="R10" s="1252"/>
      <c r="S10" s="282"/>
    </row>
    <row r="11" spans="1:45" s="274" customFormat="1" ht="409.5" x14ac:dyDescent="0.25">
      <c r="A11" s="649" t="s">
        <v>179</v>
      </c>
      <c r="B11" s="649" t="s">
        <v>31</v>
      </c>
      <c r="C11" s="649" t="s">
        <v>4</v>
      </c>
      <c r="D11" s="693" t="s">
        <v>21</v>
      </c>
      <c r="E11" s="693" t="s">
        <v>16</v>
      </c>
      <c r="F11" s="649" t="s">
        <v>136</v>
      </c>
      <c r="G11" s="649" t="s">
        <v>43</v>
      </c>
      <c r="H11" s="649" t="s">
        <v>78</v>
      </c>
      <c r="I11" s="649" t="s">
        <v>86</v>
      </c>
      <c r="J11" s="649" t="s">
        <v>87</v>
      </c>
      <c r="K11" s="649" t="s">
        <v>80</v>
      </c>
      <c r="L11" s="694" t="s">
        <v>84</v>
      </c>
      <c r="M11" s="695" t="s">
        <v>135</v>
      </c>
      <c r="N11" s="695" t="s">
        <v>79</v>
      </c>
      <c r="O11" s="649" t="s">
        <v>85</v>
      </c>
      <c r="P11" s="649" t="s">
        <v>81</v>
      </c>
      <c r="Q11" s="649" t="s">
        <v>82</v>
      </c>
      <c r="R11" s="649" t="s">
        <v>83</v>
      </c>
    </row>
    <row r="12" spans="1:45" x14ac:dyDescent="0.45">
      <c r="A12" s="318">
        <v>1</v>
      </c>
      <c r="B12" s="318">
        <v>2</v>
      </c>
      <c r="C12" s="318">
        <v>3</v>
      </c>
      <c r="D12" s="318">
        <v>4</v>
      </c>
      <c r="E12" s="318">
        <v>5</v>
      </c>
      <c r="F12" s="318">
        <v>6</v>
      </c>
      <c r="G12" s="318">
        <v>7</v>
      </c>
      <c r="H12" s="318">
        <v>8</v>
      </c>
      <c r="I12" s="318">
        <v>9</v>
      </c>
      <c r="J12" s="318">
        <v>10</v>
      </c>
      <c r="K12" s="318">
        <v>11</v>
      </c>
      <c r="L12" s="318">
        <v>12</v>
      </c>
      <c r="M12" s="318">
        <v>13</v>
      </c>
      <c r="N12" s="318">
        <v>14</v>
      </c>
      <c r="O12" s="318">
        <v>15</v>
      </c>
      <c r="P12" s="318">
        <v>16</v>
      </c>
      <c r="Q12" s="318">
        <v>17</v>
      </c>
      <c r="R12" s="318">
        <v>18</v>
      </c>
      <c r="T12" s="273"/>
      <c r="U12" s="273"/>
      <c r="V12" s="273"/>
      <c r="W12" s="273"/>
      <c r="X12" s="273"/>
      <c r="Y12" s="273"/>
      <c r="Z12" s="273"/>
      <c r="AA12" s="273"/>
      <c r="AB12" s="273"/>
      <c r="AC12" s="273"/>
    </row>
    <row r="13" spans="1:45" s="286" customFormat="1" ht="105" x14ac:dyDescent="0.45">
      <c r="A13" s="375" t="s">
        <v>711</v>
      </c>
      <c r="B13" s="376" t="s">
        <v>684</v>
      </c>
      <c r="C13" s="294" t="s">
        <v>621</v>
      </c>
      <c r="D13" s="696" t="s">
        <v>826</v>
      </c>
      <c r="E13" s="696" t="s">
        <v>691</v>
      </c>
      <c r="F13" s="696" t="s">
        <v>827</v>
      </c>
      <c r="G13" s="696" t="s">
        <v>621</v>
      </c>
      <c r="H13" s="696" t="s">
        <v>831</v>
      </c>
      <c r="I13" s="696" t="s">
        <v>831</v>
      </c>
      <c r="J13" s="696" t="s">
        <v>831</v>
      </c>
      <c r="K13" s="696" t="s">
        <v>831</v>
      </c>
      <c r="L13" s="696" t="s">
        <v>831</v>
      </c>
      <c r="M13" s="696" t="s">
        <v>829</v>
      </c>
      <c r="N13" s="696" t="s">
        <v>831</v>
      </c>
      <c r="O13" s="696" t="s">
        <v>831</v>
      </c>
      <c r="P13" s="696" t="s">
        <v>828</v>
      </c>
      <c r="Q13" s="696" t="s">
        <v>830</v>
      </c>
      <c r="R13" s="696" t="s">
        <v>831</v>
      </c>
      <c r="S13" s="284"/>
      <c r="T13" s="284"/>
      <c r="U13" s="284"/>
      <c r="V13" s="284"/>
      <c r="W13" s="284"/>
      <c r="X13" s="284"/>
      <c r="Y13" s="284"/>
      <c r="Z13" s="285"/>
      <c r="AA13" s="285"/>
      <c r="AB13" s="285"/>
      <c r="AC13" s="285"/>
    </row>
    <row r="14" spans="1:45" s="286" customFormat="1" ht="105" x14ac:dyDescent="0.45">
      <c r="A14" s="378" t="s">
        <v>713</v>
      </c>
      <c r="B14" s="394" t="s">
        <v>686</v>
      </c>
      <c r="C14" s="293" t="s">
        <v>621</v>
      </c>
      <c r="D14" s="649" t="s">
        <v>826</v>
      </c>
      <c r="E14" s="649" t="s">
        <v>691</v>
      </c>
      <c r="F14" s="649" t="s">
        <v>827</v>
      </c>
      <c r="G14" s="649" t="s">
        <v>621</v>
      </c>
      <c r="H14" s="649" t="s">
        <v>831</v>
      </c>
      <c r="I14" s="649" t="s">
        <v>831</v>
      </c>
      <c r="J14" s="649" t="s">
        <v>831</v>
      </c>
      <c r="K14" s="649" t="s">
        <v>831</v>
      </c>
      <c r="L14" s="649" t="s">
        <v>831</v>
      </c>
      <c r="M14" s="649" t="s">
        <v>829</v>
      </c>
      <c r="N14" s="649" t="s">
        <v>831</v>
      </c>
      <c r="O14" s="649" t="s">
        <v>831</v>
      </c>
      <c r="P14" s="649" t="s">
        <v>828</v>
      </c>
      <c r="Q14" s="649" t="s">
        <v>830</v>
      </c>
      <c r="R14" s="649" t="s">
        <v>831</v>
      </c>
      <c r="S14" s="284"/>
      <c r="T14" s="284"/>
      <c r="U14" s="284"/>
      <c r="V14" s="284"/>
      <c r="W14" s="284"/>
      <c r="X14" s="284"/>
      <c r="Y14" s="284"/>
      <c r="Z14" s="285"/>
      <c r="AA14" s="285"/>
      <c r="AB14" s="285"/>
      <c r="AC14" s="285"/>
    </row>
    <row r="15" spans="1:45" s="286" customFormat="1" ht="105" x14ac:dyDescent="0.45">
      <c r="A15" s="380" t="s">
        <v>537</v>
      </c>
      <c r="B15" s="400" t="s">
        <v>691</v>
      </c>
      <c r="C15" s="293" t="s">
        <v>621</v>
      </c>
      <c r="D15" s="649" t="s">
        <v>826</v>
      </c>
      <c r="E15" s="649" t="s">
        <v>691</v>
      </c>
      <c r="F15" s="649" t="s">
        <v>827</v>
      </c>
      <c r="G15" s="649" t="s">
        <v>621</v>
      </c>
      <c r="H15" s="649" t="s">
        <v>831</v>
      </c>
      <c r="I15" s="649" t="s">
        <v>831</v>
      </c>
      <c r="J15" s="649" t="s">
        <v>831</v>
      </c>
      <c r="K15" s="649" t="s">
        <v>831</v>
      </c>
      <c r="L15" s="649" t="s">
        <v>831</v>
      </c>
      <c r="M15" s="649" t="s">
        <v>829</v>
      </c>
      <c r="N15" s="649" t="s">
        <v>831</v>
      </c>
      <c r="O15" s="649" t="s">
        <v>831</v>
      </c>
      <c r="P15" s="649" t="s">
        <v>828</v>
      </c>
      <c r="Q15" s="649" t="s">
        <v>830</v>
      </c>
      <c r="R15" s="649" t="s">
        <v>831</v>
      </c>
      <c r="S15" s="284"/>
      <c r="T15" s="284"/>
      <c r="U15" s="284"/>
      <c r="V15" s="284"/>
      <c r="W15" s="284"/>
      <c r="X15" s="284"/>
      <c r="Y15" s="284"/>
      <c r="Z15" s="285"/>
      <c r="AA15" s="285"/>
      <c r="AB15" s="285"/>
      <c r="AC15" s="285"/>
    </row>
    <row r="16" spans="1:45" s="286" customFormat="1" ht="131.25" x14ac:dyDescent="0.45">
      <c r="A16" s="574" t="s">
        <v>545</v>
      </c>
      <c r="B16" s="697" t="s">
        <v>697</v>
      </c>
      <c r="C16" s="698" t="s">
        <v>621</v>
      </c>
      <c r="D16" s="699" t="s">
        <v>826</v>
      </c>
      <c r="E16" s="699" t="s">
        <v>691</v>
      </c>
      <c r="F16" s="699" t="s">
        <v>827</v>
      </c>
      <c r="G16" s="699" t="s">
        <v>621</v>
      </c>
      <c r="H16" s="699" t="s">
        <v>831</v>
      </c>
      <c r="I16" s="699" t="s">
        <v>831</v>
      </c>
      <c r="J16" s="699" t="s">
        <v>831</v>
      </c>
      <c r="K16" s="699" t="s">
        <v>831</v>
      </c>
      <c r="L16" s="699" t="s">
        <v>831</v>
      </c>
      <c r="M16" s="699" t="s">
        <v>829</v>
      </c>
      <c r="N16" s="699" t="s">
        <v>831</v>
      </c>
      <c r="O16" s="699" t="s">
        <v>831</v>
      </c>
      <c r="P16" s="699" t="s">
        <v>828</v>
      </c>
      <c r="Q16" s="699" t="s">
        <v>830</v>
      </c>
      <c r="R16" s="699" t="s">
        <v>831</v>
      </c>
      <c r="S16" s="319"/>
      <c r="T16" s="319"/>
      <c r="U16" s="284"/>
      <c r="V16" s="284"/>
      <c r="W16" s="284"/>
      <c r="X16" s="284"/>
      <c r="Y16" s="284"/>
      <c r="Z16" s="285"/>
      <c r="AA16" s="285"/>
      <c r="AB16" s="285"/>
      <c r="AC16" s="285"/>
    </row>
    <row r="17" spans="1:29" s="286" customFormat="1" ht="105" x14ac:dyDescent="0.45">
      <c r="A17" s="380" t="s">
        <v>595</v>
      </c>
      <c r="B17" s="400" t="s">
        <v>746</v>
      </c>
      <c r="C17" s="293" t="s">
        <v>621</v>
      </c>
      <c r="D17" s="649" t="s">
        <v>826</v>
      </c>
      <c r="E17" s="649" t="s">
        <v>691</v>
      </c>
      <c r="F17" s="649" t="s">
        <v>827</v>
      </c>
      <c r="G17" s="649" t="s">
        <v>621</v>
      </c>
      <c r="H17" s="649" t="s">
        <v>831</v>
      </c>
      <c r="I17" s="649" t="s">
        <v>831</v>
      </c>
      <c r="J17" s="649" t="s">
        <v>831</v>
      </c>
      <c r="K17" s="649" t="s">
        <v>831</v>
      </c>
      <c r="L17" s="649" t="s">
        <v>831</v>
      </c>
      <c r="M17" s="649" t="s">
        <v>829</v>
      </c>
      <c r="N17" s="649" t="s">
        <v>831</v>
      </c>
      <c r="O17" s="649" t="s">
        <v>831</v>
      </c>
      <c r="P17" s="649" t="s">
        <v>828</v>
      </c>
      <c r="Q17" s="649" t="s">
        <v>830</v>
      </c>
      <c r="R17" s="649" t="s">
        <v>831</v>
      </c>
      <c r="S17" s="284"/>
      <c r="T17" s="284"/>
      <c r="U17" s="284"/>
      <c r="V17" s="284"/>
      <c r="W17" s="284"/>
      <c r="X17" s="284"/>
      <c r="Y17" s="284"/>
      <c r="Z17" s="285"/>
      <c r="AA17" s="285"/>
      <c r="AB17" s="285"/>
      <c r="AC17" s="285"/>
    </row>
    <row r="18" spans="1:29" s="286" customFormat="1" ht="105" x14ac:dyDescent="0.45">
      <c r="A18" s="380" t="s">
        <v>814</v>
      </c>
      <c r="B18" s="400" t="s">
        <v>815</v>
      </c>
      <c r="C18" s="293" t="s">
        <v>1044</v>
      </c>
      <c r="D18" s="649" t="s">
        <v>826</v>
      </c>
      <c r="E18" s="649" t="s">
        <v>691</v>
      </c>
      <c r="F18" s="649" t="s">
        <v>827</v>
      </c>
      <c r="G18" s="649" t="s">
        <v>621</v>
      </c>
      <c r="H18" s="649" t="s">
        <v>831</v>
      </c>
      <c r="I18" s="649" t="s">
        <v>831</v>
      </c>
      <c r="J18" s="649" t="s">
        <v>831</v>
      </c>
      <c r="K18" s="649" t="s">
        <v>831</v>
      </c>
      <c r="L18" s="649" t="s">
        <v>831</v>
      </c>
      <c r="M18" s="649" t="s">
        <v>829</v>
      </c>
      <c r="N18" s="649" t="s">
        <v>831</v>
      </c>
      <c r="O18" s="649" t="s">
        <v>831</v>
      </c>
      <c r="P18" s="649" t="s">
        <v>828</v>
      </c>
      <c r="Q18" s="649" t="s">
        <v>830</v>
      </c>
      <c r="R18" s="649" t="s">
        <v>831</v>
      </c>
      <c r="S18" s="284"/>
      <c r="T18" s="284"/>
      <c r="U18" s="284"/>
      <c r="V18" s="284"/>
      <c r="W18" s="284"/>
      <c r="X18" s="284"/>
      <c r="Y18" s="284"/>
      <c r="Z18" s="285"/>
      <c r="AA18" s="285"/>
      <c r="AB18" s="285"/>
      <c r="AC18" s="285"/>
    </row>
    <row r="19" spans="1:29" s="286" customFormat="1" ht="105" x14ac:dyDescent="0.45">
      <c r="A19" s="380" t="s">
        <v>813</v>
      </c>
      <c r="B19" s="400" t="s">
        <v>859</v>
      </c>
      <c r="C19" s="293" t="s">
        <v>1045</v>
      </c>
      <c r="D19" s="649" t="s">
        <v>826</v>
      </c>
      <c r="E19" s="649" t="s">
        <v>691</v>
      </c>
      <c r="F19" s="649" t="s">
        <v>827</v>
      </c>
      <c r="G19" s="649" t="s">
        <v>621</v>
      </c>
      <c r="H19" s="649" t="s">
        <v>831</v>
      </c>
      <c r="I19" s="649" t="s">
        <v>831</v>
      </c>
      <c r="J19" s="649" t="s">
        <v>831</v>
      </c>
      <c r="K19" s="649" t="s">
        <v>831</v>
      </c>
      <c r="L19" s="649" t="s">
        <v>831</v>
      </c>
      <c r="M19" s="649" t="s">
        <v>829</v>
      </c>
      <c r="N19" s="649" t="s">
        <v>831</v>
      </c>
      <c r="O19" s="649" t="s">
        <v>831</v>
      </c>
      <c r="P19" s="649" t="s">
        <v>828</v>
      </c>
      <c r="Q19" s="649" t="s">
        <v>830</v>
      </c>
      <c r="R19" s="649" t="s">
        <v>831</v>
      </c>
      <c r="S19" s="284"/>
      <c r="T19" s="284"/>
      <c r="U19" s="284"/>
      <c r="V19" s="284"/>
      <c r="W19" s="284"/>
      <c r="X19" s="284"/>
      <c r="Y19" s="284"/>
      <c r="Z19" s="285"/>
      <c r="AA19" s="285"/>
      <c r="AB19" s="285"/>
      <c r="AC19" s="285"/>
    </row>
    <row r="20" spans="1:29" s="286" customFormat="1" ht="183.75" x14ac:dyDescent="0.45">
      <c r="A20" s="380" t="s">
        <v>817</v>
      </c>
      <c r="B20" s="400" t="s">
        <v>934</v>
      </c>
      <c r="C20" s="293" t="s">
        <v>1046</v>
      </c>
      <c r="D20" s="649" t="s">
        <v>826</v>
      </c>
      <c r="E20" s="649" t="s">
        <v>691</v>
      </c>
      <c r="F20" s="649" t="s">
        <v>827</v>
      </c>
      <c r="G20" s="649" t="s">
        <v>621</v>
      </c>
      <c r="H20" s="649" t="s">
        <v>831</v>
      </c>
      <c r="I20" s="649" t="s">
        <v>831</v>
      </c>
      <c r="J20" s="649" t="s">
        <v>831</v>
      </c>
      <c r="K20" s="649" t="s">
        <v>831</v>
      </c>
      <c r="L20" s="649" t="s">
        <v>831</v>
      </c>
      <c r="M20" s="649" t="s">
        <v>829</v>
      </c>
      <c r="N20" s="649" t="s">
        <v>831</v>
      </c>
      <c r="O20" s="649" t="s">
        <v>831</v>
      </c>
      <c r="P20" s="649" t="s">
        <v>828</v>
      </c>
      <c r="Q20" s="649" t="s">
        <v>830</v>
      </c>
      <c r="R20" s="649" t="s">
        <v>831</v>
      </c>
      <c r="S20" s="284"/>
      <c r="T20" s="284"/>
      <c r="U20" s="284"/>
      <c r="V20" s="284"/>
      <c r="W20" s="284"/>
      <c r="X20" s="284"/>
      <c r="Y20" s="284"/>
      <c r="Z20" s="285"/>
      <c r="AA20" s="285"/>
      <c r="AB20" s="285"/>
      <c r="AC20" s="285"/>
    </row>
    <row r="21" spans="1:29" s="286" customFormat="1" ht="157.5" x14ac:dyDescent="0.45">
      <c r="A21" s="380" t="s">
        <v>819</v>
      </c>
      <c r="B21" s="400" t="s">
        <v>816</v>
      </c>
      <c r="C21" s="293" t="s">
        <v>1047</v>
      </c>
      <c r="D21" s="649" t="s">
        <v>826</v>
      </c>
      <c r="E21" s="649" t="s">
        <v>691</v>
      </c>
      <c r="F21" s="649" t="s">
        <v>827</v>
      </c>
      <c r="G21" s="649" t="s">
        <v>621</v>
      </c>
      <c r="H21" s="649" t="s">
        <v>831</v>
      </c>
      <c r="I21" s="649" t="s">
        <v>831</v>
      </c>
      <c r="J21" s="649" t="s">
        <v>831</v>
      </c>
      <c r="K21" s="649" t="s">
        <v>831</v>
      </c>
      <c r="L21" s="649" t="s">
        <v>831</v>
      </c>
      <c r="M21" s="649" t="s">
        <v>829</v>
      </c>
      <c r="N21" s="649" t="s">
        <v>831</v>
      </c>
      <c r="O21" s="649" t="s">
        <v>831</v>
      </c>
      <c r="P21" s="649" t="s">
        <v>828</v>
      </c>
      <c r="Q21" s="649" t="s">
        <v>830</v>
      </c>
      <c r="R21" s="649" t="s">
        <v>831</v>
      </c>
      <c r="S21" s="284"/>
      <c r="T21" s="284"/>
      <c r="U21" s="284"/>
      <c r="V21" s="284"/>
      <c r="W21" s="284"/>
      <c r="X21" s="284"/>
      <c r="Y21" s="284"/>
      <c r="Z21" s="285"/>
      <c r="AA21" s="285"/>
      <c r="AB21" s="285"/>
      <c r="AC21" s="285"/>
    </row>
    <row r="22" spans="1:29" s="286" customFormat="1" ht="157.5" x14ac:dyDescent="0.45">
      <c r="A22" s="380" t="s">
        <v>820</v>
      </c>
      <c r="B22" s="400" t="s">
        <v>903</v>
      </c>
      <c r="C22" s="293" t="s">
        <v>1048</v>
      </c>
      <c r="D22" s="649" t="s">
        <v>826</v>
      </c>
      <c r="E22" s="649" t="s">
        <v>691</v>
      </c>
      <c r="F22" s="649" t="s">
        <v>827</v>
      </c>
      <c r="G22" s="649" t="s">
        <v>621</v>
      </c>
      <c r="H22" s="649" t="s">
        <v>831</v>
      </c>
      <c r="I22" s="649" t="s">
        <v>831</v>
      </c>
      <c r="J22" s="649" t="s">
        <v>831</v>
      </c>
      <c r="K22" s="649" t="s">
        <v>831</v>
      </c>
      <c r="L22" s="649" t="s">
        <v>831</v>
      </c>
      <c r="M22" s="649" t="s">
        <v>829</v>
      </c>
      <c r="N22" s="649" t="s">
        <v>831</v>
      </c>
      <c r="O22" s="649" t="s">
        <v>831</v>
      </c>
      <c r="P22" s="649" t="s">
        <v>828</v>
      </c>
      <c r="Q22" s="649" t="s">
        <v>830</v>
      </c>
      <c r="R22" s="649" t="s">
        <v>831</v>
      </c>
      <c r="S22" s="284"/>
      <c r="T22" s="284"/>
      <c r="U22" s="284"/>
      <c r="V22" s="284"/>
      <c r="W22" s="284"/>
      <c r="X22" s="284"/>
      <c r="Y22" s="284"/>
      <c r="Z22" s="285"/>
      <c r="AA22" s="285"/>
      <c r="AB22" s="285"/>
      <c r="AC22" s="285"/>
    </row>
    <row r="23" spans="1:29" s="286" customFormat="1" ht="105" x14ac:dyDescent="0.45">
      <c r="A23" s="380" t="s">
        <v>863</v>
      </c>
      <c r="B23" s="400" t="s">
        <v>915</v>
      </c>
      <c r="C23" s="293" t="s">
        <v>1049</v>
      </c>
      <c r="D23" s="649" t="s">
        <v>826</v>
      </c>
      <c r="E23" s="649" t="s">
        <v>691</v>
      </c>
      <c r="F23" s="649" t="s">
        <v>827</v>
      </c>
      <c r="G23" s="649" t="s">
        <v>621</v>
      </c>
      <c r="H23" s="649" t="s">
        <v>621</v>
      </c>
      <c r="I23" s="649" t="s">
        <v>621</v>
      </c>
      <c r="J23" s="649" t="s">
        <v>621</v>
      </c>
      <c r="K23" s="649" t="s">
        <v>621</v>
      </c>
      <c r="L23" s="649" t="s">
        <v>621</v>
      </c>
      <c r="M23" s="649" t="s">
        <v>621</v>
      </c>
      <c r="N23" s="649" t="s">
        <v>621</v>
      </c>
      <c r="O23" s="649" t="s">
        <v>621</v>
      </c>
      <c r="P23" s="649" t="s">
        <v>621</v>
      </c>
      <c r="Q23" s="649" t="s">
        <v>621</v>
      </c>
      <c r="R23" s="649" t="s">
        <v>621</v>
      </c>
      <c r="S23" s="284"/>
      <c r="T23" s="284"/>
      <c r="U23" s="284"/>
      <c r="V23" s="284"/>
      <c r="W23" s="284"/>
      <c r="X23" s="284"/>
      <c r="Y23" s="284"/>
      <c r="Z23" s="285"/>
      <c r="AA23" s="285"/>
      <c r="AB23" s="285"/>
      <c r="AC23" s="285"/>
    </row>
    <row r="24" spans="1:29" s="286" customFormat="1" ht="105" x14ac:dyDescent="0.45">
      <c r="A24" s="380" t="s">
        <v>864</v>
      </c>
      <c r="B24" s="400" t="s">
        <v>818</v>
      </c>
      <c r="C24" s="293" t="s">
        <v>1050</v>
      </c>
      <c r="D24" s="649" t="s">
        <v>826</v>
      </c>
      <c r="E24" s="649" t="s">
        <v>691</v>
      </c>
      <c r="F24" s="649" t="s">
        <v>827</v>
      </c>
      <c r="G24" s="649" t="s">
        <v>621</v>
      </c>
      <c r="H24" s="649" t="s">
        <v>831</v>
      </c>
      <c r="I24" s="649" t="s">
        <v>831</v>
      </c>
      <c r="J24" s="649" t="s">
        <v>831</v>
      </c>
      <c r="K24" s="649" t="s">
        <v>831</v>
      </c>
      <c r="L24" s="649" t="s">
        <v>831</v>
      </c>
      <c r="M24" s="649" t="s">
        <v>829</v>
      </c>
      <c r="N24" s="649" t="s">
        <v>831</v>
      </c>
      <c r="O24" s="649" t="s">
        <v>831</v>
      </c>
      <c r="P24" s="649" t="s">
        <v>828</v>
      </c>
      <c r="Q24" s="649" t="s">
        <v>830</v>
      </c>
      <c r="R24" s="649" t="s">
        <v>831</v>
      </c>
      <c r="S24" s="284"/>
      <c r="T24" s="284"/>
      <c r="U24" s="284"/>
      <c r="V24" s="284"/>
      <c r="W24" s="284"/>
      <c r="X24" s="284"/>
      <c r="Y24" s="284"/>
      <c r="Z24" s="285"/>
      <c r="AA24" s="285"/>
      <c r="AB24" s="285"/>
      <c r="AC24" s="285"/>
    </row>
    <row r="25" spans="1:29" s="286" customFormat="1" ht="157.5" x14ac:dyDescent="0.45">
      <c r="A25" s="380" t="s">
        <v>868</v>
      </c>
      <c r="B25" s="400" t="s">
        <v>870</v>
      </c>
      <c r="C25" s="293" t="s">
        <v>1051</v>
      </c>
      <c r="D25" s="649" t="s">
        <v>826</v>
      </c>
      <c r="E25" s="649" t="s">
        <v>691</v>
      </c>
      <c r="F25" s="649" t="s">
        <v>827</v>
      </c>
      <c r="G25" s="649" t="s">
        <v>621</v>
      </c>
      <c r="H25" s="649" t="s">
        <v>831</v>
      </c>
      <c r="I25" s="649" t="s">
        <v>831</v>
      </c>
      <c r="J25" s="649" t="s">
        <v>831</v>
      </c>
      <c r="K25" s="649" t="s">
        <v>831</v>
      </c>
      <c r="L25" s="649" t="s">
        <v>831</v>
      </c>
      <c r="M25" s="649" t="s">
        <v>829</v>
      </c>
      <c r="N25" s="649" t="s">
        <v>831</v>
      </c>
      <c r="O25" s="649" t="s">
        <v>831</v>
      </c>
      <c r="P25" s="649" t="s">
        <v>828</v>
      </c>
      <c r="Q25" s="649" t="s">
        <v>830</v>
      </c>
      <c r="R25" s="649" t="s">
        <v>831</v>
      </c>
      <c r="S25" s="284"/>
      <c r="T25" s="284"/>
      <c r="U25" s="284"/>
      <c r="V25" s="284"/>
      <c r="W25" s="284"/>
      <c r="X25" s="284"/>
      <c r="Y25" s="284"/>
      <c r="Z25" s="285"/>
      <c r="AA25" s="285"/>
      <c r="AB25" s="285"/>
      <c r="AC25" s="285"/>
    </row>
    <row r="26" spans="1:29" s="286" customFormat="1" ht="288.75" x14ac:dyDescent="0.45">
      <c r="A26" s="380" t="s">
        <v>869</v>
      </c>
      <c r="B26" s="400" t="s">
        <v>876</v>
      </c>
      <c r="C26" s="293" t="s">
        <v>1052</v>
      </c>
      <c r="D26" s="649" t="s">
        <v>826</v>
      </c>
      <c r="E26" s="649" t="s">
        <v>691</v>
      </c>
      <c r="F26" s="649" t="s">
        <v>827</v>
      </c>
      <c r="G26" s="649" t="s">
        <v>621</v>
      </c>
      <c r="H26" s="649" t="s">
        <v>831</v>
      </c>
      <c r="I26" s="649" t="s">
        <v>831</v>
      </c>
      <c r="J26" s="649" t="s">
        <v>831</v>
      </c>
      <c r="K26" s="649" t="s">
        <v>831</v>
      </c>
      <c r="L26" s="649" t="s">
        <v>831</v>
      </c>
      <c r="M26" s="649" t="s">
        <v>829</v>
      </c>
      <c r="N26" s="649" t="s">
        <v>831</v>
      </c>
      <c r="O26" s="649" t="s">
        <v>831</v>
      </c>
      <c r="P26" s="649" t="s">
        <v>828</v>
      </c>
      <c r="Q26" s="649" t="s">
        <v>830</v>
      </c>
      <c r="R26" s="649" t="s">
        <v>831</v>
      </c>
      <c r="S26" s="284"/>
      <c r="T26" s="284"/>
      <c r="U26" s="284"/>
      <c r="V26" s="284"/>
      <c r="W26" s="284"/>
      <c r="X26" s="284"/>
      <c r="Y26" s="284"/>
      <c r="Z26" s="285"/>
      <c r="AA26" s="285"/>
      <c r="AB26" s="285"/>
      <c r="AC26" s="285"/>
    </row>
    <row r="27" spans="1:29" s="286" customFormat="1" ht="105" x14ac:dyDescent="0.45">
      <c r="A27" s="380" t="s">
        <v>874</v>
      </c>
      <c r="B27" s="400" t="s">
        <v>821</v>
      </c>
      <c r="C27" s="293" t="s">
        <v>1053</v>
      </c>
      <c r="D27" s="649" t="s">
        <v>826</v>
      </c>
      <c r="E27" s="649" t="s">
        <v>691</v>
      </c>
      <c r="F27" s="649" t="s">
        <v>827</v>
      </c>
      <c r="G27" s="649" t="s">
        <v>621</v>
      </c>
      <c r="H27" s="649" t="s">
        <v>831</v>
      </c>
      <c r="I27" s="649" t="s">
        <v>831</v>
      </c>
      <c r="J27" s="649" t="s">
        <v>831</v>
      </c>
      <c r="K27" s="649" t="s">
        <v>831</v>
      </c>
      <c r="L27" s="649" t="s">
        <v>831</v>
      </c>
      <c r="M27" s="649" t="s">
        <v>829</v>
      </c>
      <c r="N27" s="649" t="s">
        <v>831</v>
      </c>
      <c r="O27" s="649" t="s">
        <v>831</v>
      </c>
      <c r="P27" s="649" t="s">
        <v>828</v>
      </c>
      <c r="Q27" s="649" t="s">
        <v>830</v>
      </c>
      <c r="R27" s="649" t="s">
        <v>831</v>
      </c>
      <c r="S27" s="284"/>
      <c r="T27" s="284"/>
      <c r="U27" s="284"/>
      <c r="V27" s="284"/>
      <c r="W27" s="284"/>
      <c r="X27" s="284"/>
      <c r="Y27" s="284"/>
      <c r="Z27" s="285"/>
      <c r="AA27" s="285"/>
      <c r="AB27" s="285"/>
      <c r="AC27" s="285"/>
    </row>
    <row r="28" spans="1:29" s="286" customFormat="1" ht="131.25" x14ac:dyDescent="0.45">
      <c r="A28" s="380" t="s">
        <v>875</v>
      </c>
      <c r="B28" s="400" t="s">
        <v>1042</v>
      </c>
      <c r="C28" s="293" t="s">
        <v>1054</v>
      </c>
      <c r="D28" s="649" t="s">
        <v>826</v>
      </c>
      <c r="E28" s="649" t="s">
        <v>691</v>
      </c>
      <c r="F28" s="649" t="s">
        <v>827</v>
      </c>
      <c r="G28" s="649" t="s">
        <v>621</v>
      </c>
      <c r="H28" s="649" t="s">
        <v>831</v>
      </c>
      <c r="I28" s="649" t="s">
        <v>831</v>
      </c>
      <c r="J28" s="649" t="s">
        <v>831</v>
      </c>
      <c r="K28" s="649" t="s">
        <v>831</v>
      </c>
      <c r="L28" s="649" t="s">
        <v>831</v>
      </c>
      <c r="M28" s="649" t="s">
        <v>829</v>
      </c>
      <c r="N28" s="649" t="s">
        <v>831</v>
      </c>
      <c r="O28" s="649" t="s">
        <v>831</v>
      </c>
      <c r="P28" s="649" t="s">
        <v>828</v>
      </c>
      <c r="Q28" s="649" t="s">
        <v>830</v>
      </c>
      <c r="R28" s="649" t="s">
        <v>831</v>
      </c>
      <c r="S28" s="284"/>
      <c r="T28" s="284"/>
      <c r="U28" s="284"/>
      <c r="V28" s="284"/>
      <c r="W28" s="284"/>
      <c r="X28" s="284"/>
      <c r="Y28" s="284"/>
      <c r="Z28" s="285"/>
      <c r="AA28" s="285"/>
      <c r="AB28" s="285"/>
      <c r="AC28" s="285"/>
    </row>
    <row r="29" spans="1:29" s="286" customFormat="1" ht="105" x14ac:dyDescent="0.45">
      <c r="A29" s="380" t="s">
        <v>884</v>
      </c>
      <c r="B29" s="400" t="s">
        <v>901</v>
      </c>
      <c r="C29" s="293" t="s">
        <v>1055</v>
      </c>
      <c r="D29" s="649" t="s">
        <v>826</v>
      </c>
      <c r="E29" s="649" t="s">
        <v>691</v>
      </c>
      <c r="F29" s="649" t="s">
        <v>827</v>
      </c>
      <c r="G29" s="649" t="s">
        <v>621</v>
      </c>
      <c r="H29" s="649" t="s">
        <v>831</v>
      </c>
      <c r="I29" s="649" t="s">
        <v>831</v>
      </c>
      <c r="J29" s="649" t="s">
        <v>831</v>
      </c>
      <c r="K29" s="649" t="s">
        <v>831</v>
      </c>
      <c r="L29" s="649" t="s">
        <v>831</v>
      </c>
      <c r="M29" s="649" t="s">
        <v>829</v>
      </c>
      <c r="N29" s="649" t="s">
        <v>831</v>
      </c>
      <c r="O29" s="649" t="s">
        <v>831</v>
      </c>
      <c r="P29" s="649" t="s">
        <v>828</v>
      </c>
      <c r="Q29" s="649" t="s">
        <v>830</v>
      </c>
      <c r="R29" s="649" t="s">
        <v>831</v>
      </c>
      <c r="S29" s="284"/>
      <c r="T29" s="284"/>
      <c r="U29" s="284"/>
      <c r="V29" s="284"/>
      <c r="W29" s="284"/>
      <c r="X29" s="284"/>
      <c r="Y29" s="284"/>
      <c r="Z29" s="285"/>
      <c r="AA29" s="285"/>
      <c r="AB29" s="285"/>
      <c r="AC29" s="285"/>
    </row>
    <row r="30" spans="1:29" s="321" customFormat="1" ht="105" x14ac:dyDescent="0.45">
      <c r="A30" s="380" t="s">
        <v>1659</v>
      </c>
      <c r="B30" s="400" t="s">
        <v>1671</v>
      </c>
      <c r="C30" s="293" t="s">
        <v>1683</v>
      </c>
      <c r="D30" s="649" t="s">
        <v>826</v>
      </c>
      <c r="E30" s="649" t="s">
        <v>691</v>
      </c>
      <c r="F30" s="649" t="s">
        <v>827</v>
      </c>
      <c r="G30" s="649" t="s">
        <v>621</v>
      </c>
      <c r="H30" s="649" t="s">
        <v>831</v>
      </c>
      <c r="I30" s="649" t="s">
        <v>831</v>
      </c>
      <c r="J30" s="649" t="s">
        <v>831</v>
      </c>
      <c r="K30" s="649" t="s">
        <v>831</v>
      </c>
      <c r="L30" s="649" t="s">
        <v>831</v>
      </c>
      <c r="M30" s="649" t="s">
        <v>829</v>
      </c>
      <c r="N30" s="649" t="s">
        <v>831</v>
      </c>
      <c r="O30" s="649" t="s">
        <v>831</v>
      </c>
      <c r="P30" s="649" t="s">
        <v>828</v>
      </c>
      <c r="Q30" s="649" t="s">
        <v>830</v>
      </c>
      <c r="R30" s="649" t="s">
        <v>831</v>
      </c>
      <c r="S30" s="319"/>
      <c r="T30" s="319"/>
      <c r="U30" s="319"/>
      <c r="V30" s="319"/>
      <c r="W30" s="319"/>
      <c r="X30" s="319"/>
      <c r="Y30" s="319"/>
      <c r="Z30" s="320"/>
      <c r="AA30" s="320"/>
      <c r="AB30" s="320"/>
      <c r="AC30" s="320"/>
    </row>
    <row r="31" spans="1:29" s="321" customFormat="1" ht="105" x14ac:dyDescent="0.45">
      <c r="A31" s="380" t="s">
        <v>1660</v>
      </c>
      <c r="B31" s="400" t="s">
        <v>1672</v>
      </c>
      <c r="C31" s="293" t="s">
        <v>1684</v>
      </c>
      <c r="D31" s="649" t="s">
        <v>826</v>
      </c>
      <c r="E31" s="649" t="s">
        <v>691</v>
      </c>
      <c r="F31" s="649" t="s">
        <v>827</v>
      </c>
      <c r="G31" s="649" t="s">
        <v>621</v>
      </c>
      <c r="H31" s="649" t="s">
        <v>831</v>
      </c>
      <c r="I31" s="649" t="s">
        <v>831</v>
      </c>
      <c r="J31" s="649" t="s">
        <v>831</v>
      </c>
      <c r="K31" s="649" t="s">
        <v>831</v>
      </c>
      <c r="L31" s="649" t="s">
        <v>831</v>
      </c>
      <c r="M31" s="649" t="s">
        <v>829</v>
      </c>
      <c r="N31" s="649" t="s">
        <v>831</v>
      </c>
      <c r="O31" s="649" t="s">
        <v>831</v>
      </c>
      <c r="P31" s="649" t="s">
        <v>828</v>
      </c>
      <c r="Q31" s="649" t="s">
        <v>830</v>
      </c>
      <c r="R31" s="649" t="s">
        <v>831</v>
      </c>
      <c r="S31" s="319"/>
      <c r="T31" s="319"/>
      <c r="U31" s="319"/>
      <c r="V31" s="319"/>
      <c r="W31" s="319"/>
      <c r="X31" s="319"/>
      <c r="Y31" s="319"/>
      <c r="Z31" s="320"/>
      <c r="AA31" s="320"/>
      <c r="AB31" s="320"/>
      <c r="AC31" s="320"/>
    </row>
    <row r="32" spans="1:29" s="321" customFormat="1" ht="105" x14ac:dyDescent="0.45">
      <c r="A32" s="380" t="s">
        <v>1661</v>
      </c>
      <c r="B32" s="400" t="s">
        <v>1673</v>
      </c>
      <c r="C32" s="293" t="s">
        <v>1685</v>
      </c>
      <c r="D32" s="649" t="s">
        <v>826</v>
      </c>
      <c r="E32" s="649" t="s">
        <v>691</v>
      </c>
      <c r="F32" s="649" t="s">
        <v>827</v>
      </c>
      <c r="G32" s="649" t="s">
        <v>621</v>
      </c>
      <c r="H32" s="649" t="s">
        <v>831</v>
      </c>
      <c r="I32" s="649" t="s">
        <v>831</v>
      </c>
      <c r="J32" s="649" t="s">
        <v>831</v>
      </c>
      <c r="K32" s="649" t="s">
        <v>831</v>
      </c>
      <c r="L32" s="649" t="s">
        <v>831</v>
      </c>
      <c r="M32" s="649" t="s">
        <v>829</v>
      </c>
      <c r="N32" s="649" t="s">
        <v>831</v>
      </c>
      <c r="O32" s="649" t="s">
        <v>831</v>
      </c>
      <c r="P32" s="649" t="s">
        <v>828</v>
      </c>
      <c r="Q32" s="649" t="s">
        <v>830</v>
      </c>
      <c r="R32" s="649" t="s">
        <v>831</v>
      </c>
      <c r="S32" s="319"/>
      <c r="T32" s="319"/>
      <c r="U32" s="319"/>
      <c r="V32" s="319"/>
      <c r="W32" s="319"/>
      <c r="X32" s="319"/>
      <c r="Y32" s="319"/>
      <c r="Z32" s="320"/>
      <c r="AA32" s="320"/>
      <c r="AB32" s="320"/>
      <c r="AC32" s="320"/>
    </row>
    <row r="33" spans="1:29" s="321" customFormat="1" ht="105" x14ac:dyDescent="0.45">
      <c r="A33" s="380" t="s">
        <v>1662</v>
      </c>
      <c r="B33" s="400" t="s">
        <v>1674</v>
      </c>
      <c r="C33" s="293" t="s">
        <v>1686</v>
      </c>
      <c r="D33" s="649" t="s">
        <v>826</v>
      </c>
      <c r="E33" s="649" t="s">
        <v>691</v>
      </c>
      <c r="F33" s="649" t="s">
        <v>827</v>
      </c>
      <c r="G33" s="649" t="s">
        <v>621</v>
      </c>
      <c r="H33" s="649" t="s">
        <v>831</v>
      </c>
      <c r="I33" s="649" t="s">
        <v>831</v>
      </c>
      <c r="J33" s="649" t="s">
        <v>831</v>
      </c>
      <c r="K33" s="649" t="s">
        <v>831</v>
      </c>
      <c r="L33" s="649" t="s">
        <v>831</v>
      </c>
      <c r="M33" s="649" t="s">
        <v>829</v>
      </c>
      <c r="N33" s="649" t="s">
        <v>831</v>
      </c>
      <c r="O33" s="649" t="s">
        <v>831</v>
      </c>
      <c r="P33" s="649" t="s">
        <v>828</v>
      </c>
      <c r="Q33" s="649" t="s">
        <v>830</v>
      </c>
      <c r="R33" s="649" t="s">
        <v>831</v>
      </c>
      <c r="S33" s="319"/>
      <c r="T33" s="319"/>
      <c r="U33" s="319"/>
      <c r="V33" s="319"/>
      <c r="W33" s="319"/>
      <c r="X33" s="319"/>
      <c r="Y33" s="319"/>
      <c r="Z33" s="320"/>
      <c r="AA33" s="320"/>
      <c r="AB33" s="320"/>
      <c r="AC33" s="320"/>
    </row>
    <row r="34" spans="1:29" s="321" customFormat="1" ht="105" x14ac:dyDescent="0.45">
      <c r="A34" s="380" t="s">
        <v>1663</v>
      </c>
      <c r="B34" s="400" t="s">
        <v>1675</v>
      </c>
      <c r="C34" s="293" t="s">
        <v>1687</v>
      </c>
      <c r="D34" s="649" t="s">
        <v>826</v>
      </c>
      <c r="E34" s="649" t="s">
        <v>691</v>
      </c>
      <c r="F34" s="649" t="s">
        <v>827</v>
      </c>
      <c r="G34" s="649" t="s">
        <v>621</v>
      </c>
      <c r="H34" s="649" t="s">
        <v>831</v>
      </c>
      <c r="I34" s="649" t="s">
        <v>831</v>
      </c>
      <c r="J34" s="649" t="s">
        <v>831</v>
      </c>
      <c r="K34" s="649" t="s">
        <v>831</v>
      </c>
      <c r="L34" s="649" t="s">
        <v>831</v>
      </c>
      <c r="M34" s="649" t="s">
        <v>829</v>
      </c>
      <c r="N34" s="649" t="s">
        <v>831</v>
      </c>
      <c r="O34" s="649" t="s">
        <v>831</v>
      </c>
      <c r="P34" s="649" t="s">
        <v>828</v>
      </c>
      <c r="Q34" s="649" t="s">
        <v>830</v>
      </c>
      <c r="R34" s="649" t="s">
        <v>831</v>
      </c>
      <c r="S34" s="319"/>
      <c r="T34" s="319"/>
      <c r="U34" s="319"/>
      <c r="V34" s="319"/>
      <c r="W34" s="319"/>
      <c r="X34" s="319"/>
      <c r="Y34" s="319"/>
      <c r="Z34" s="320"/>
      <c r="AA34" s="320"/>
      <c r="AB34" s="320"/>
      <c r="AC34" s="320"/>
    </row>
    <row r="35" spans="1:29" s="321" customFormat="1" ht="105" x14ac:dyDescent="0.45">
      <c r="A35" s="380" t="s">
        <v>1664</v>
      </c>
      <c r="B35" s="400" t="s">
        <v>1676</v>
      </c>
      <c r="C35" s="293" t="s">
        <v>1688</v>
      </c>
      <c r="D35" s="649" t="s">
        <v>826</v>
      </c>
      <c r="E35" s="649" t="s">
        <v>691</v>
      </c>
      <c r="F35" s="649" t="s">
        <v>827</v>
      </c>
      <c r="G35" s="649" t="s">
        <v>621</v>
      </c>
      <c r="H35" s="649" t="s">
        <v>831</v>
      </c>
      <c r="I35" s="649" t="s">
        <v>831</v>
      </c>
      <c r="J35" s="649" t="s">
        <v>831</v>
      </c>
      <c r="K35" s="649" t="s">
        <v>831</v>
      </c>
      <c r="L35" s="649" t="s">
        <v>831</v>
      </c>
      <c r="M35" s="649" t="s">
        <v>829</v>
      </c>
      <c r="N35" s="649" t="s">
        <v>831</v>
      </c>
      <c r="O35" s="649" t="s">
        <v>831</v>
      </c>
      <c r="P35" s="649" t="s">
        <v>828</v>
      </c>
      <c r="Q35" s="649" t="s">
        <v>830</v>
      </c>
      <c r="R35" s="649" t="s">
        <v>831</v>
      </c>
      <c r="S35" s="319"/>
      <c r="T35" s="319"/>
      <c r="U35" s="319"/>
      <c r="V35" s="319"/>
      <c r="W35" s="319"/>
      <c r="X35" s="319"/>
      <c r="Y35" s="319"/>
      <c r="Z35" s="320"/>
      <c r="AA35" s="320"/>
      <c r="AB35" s="320"/>
      <c r="AC35" s="320"/>
    </row>
    <row r="36" spans="1:29" s="321" customFormat="1" ht="105" x14ac:dyDescent="0.45">
      <c r="A36" s="380" t="s">
        <v>1665</v>
      </c>
      <c r="B36" s="400" t="s">
        <v>1677</v>
      </c>
      <c r="C36" s="293" t="s">
        <v>1689</v>
      </c>
      <c r="D36" s="649" t="s">
        <v>826</v>
      </c>
      <c r="E36" s="649" t="s">
        <v>691</v>
      </c>
      <c r="F36" s="649" t="s">
        <v>827</v>
      </c>
      <c r="G36" s="649" t="s">
        <v>621</v>
      </c>
      <c r="H36" s="649" t="s">
        <v>831</v>
      </c>
      <c r="I36" s="649" t="s">
        <v>831</v>
      </c>
      <c r="J36" s="649" t="s">
        <v>831</v>
      </c>
      <c r="K36" s="649" t="s">
        <v>831</v>
      </c>
      <c r="L36" s="649" t="s">
        <v>831</v>
      </c>
      <c r="M36" s="649" t="s">
        <v>829</v>
      </c>
      <c r="N36" s="649" t="s">
        <v>831</v>
      </c>
      <c r="O36" s="649" t="s">
        <v>831</v>
      </c>
      <c r="P36" s="649" t="s">
        <v>828</v>
      </c>
      <c r="Q36" s="649" t="s">
        <v>830</v>
      </c>
      <c r="R36" s="649" t="s">
        <v>831</v>
      </c>
      <c r="S36" s="319"/>
      <c r="T36" s="319"/>
      <c r="U36" s="319"/>
      <c r="V36" s="319"/>
      <c r="W36" s="319"/>
      <c r="X36" s="319"/>
      <c r="Y36" s="319"/>
      <c r="Z36" s="320"/>
      <c r="AA36" s="320"/>
      <c r="AB36" s="320"/>
      <c r="AC36" s="320"/>
    </row>
    <row r="37" spans="1:29" s="321" customFormat="1" ht="105" x14ac:dyDescent="0.45">
      <c r="A37" s="380" t="s">
        <v>1666</v>
      </c>
      <c r="B37" s="400" t="s">
        <v>1678</v>
      </c>
      <c r="C37" s="293" t="s">
        <v>1690</v>
      </c>
      <c r="D37" s="649" t="s">
        <v>826</v>
      </c>
      <c r="E37" s="649" t="s">
        <v>691</v>
      </c>
      <c r="F37" s="649" t="s">
        <v>827</v>
      </c>
      <c r="G37" s="649" t="s">
        <v>621</v>
      </c>
      <c r="H37" s="649" t="s">
        <v>831</v>
      </c>
      <c r="I37" s="649" t="s">
        <v>831</v>
      </c>
      <c r="J37" s="649" t="s">
        <v>831</v>
      </c>
      <c r="K37" s="649" t="s">
        <v>831</v>
      </c>
      <c r="L37" s="649" t="s">
        <v>831</v>
      </c>
      <c r="M37" s="649" t="s">
        <v>829</v>
      </c>
      <c r="N37" s="649" t="s">
        <v>831</v>
      </c>
      <c r="O37" s="649" t="s">
        <v>831</v>
      </c>
      <c r="P37" s="649" t="s">
        <v>828</v>
      </c>
      <c r="Q37" s="649" t="s">
        <v>830</v>
      </c>
      <c r="R37" s="649" t="s">
        <v>831</v>
      </c>
      <c r="S37" s="319"/>
      <c r="T37" s="319"/>
      <c r="U37" s="319"/>
      <c r="V37" s="319"/>
      <c r="W37" s="319"/>
      <c r="X37" s="319"/>
      <c r="Y37" s="319"/>
      <c r="Z37" s="320"/>
      <c r="AA37" s="320"/>
      <c r="AB37" s="320"/>
      <c r="AC37" s="320"/>
    </row>
    <row r="38" spans="1:29" s="321" customFormat="1" ht="105" x14ac:dyDescent="0.45">
      <c r="A38" s="380" t="s">
        <v>1667</v>
      </c>
      <c r="B38" s="400" t="s">
        <v>1679</v>
      </c>
      <c r="C38" s="293" t="s">
        <v>1691</v>
      </c>
      <c r="D38" s="649" t="s">
        <v>826</v>
      </c>
      <c r="E38" s="649" t="s">
        <v>691</v>
      </c>
      <c r="F38" s="649" t="s">
        <v>827</v>
      </c>
      <c r="G38" s="649" t="s">
        <v>621</v>
      </c>
      <c r="H38" s="649" t="s">
        <v>831</v>
      </c>
      <c r="I38" s="649" t="s">
        <v>831</v>
      </c>
      <c r="J38" s="649" t="s">
        <v>831</v>
      </c>
      <c r="K38" s="649" t="s">
        <v>831</v>
      </c>
      <c r="L38" s="649" t="s">
        <v>831</v>
      </c>
      <c r="M38" s="649" t="s">
        <v>829</v>
      </c>
      <c r="N38" s="649" t="s">
        <v>831</v>
      </c>
      <c r="O38" s="649" t="s">
        <v>831</v>
      </c>
      <c r="P38" s="649" t="s">
        <v>828</v>
      </c>
      <c r="Q38" s="649" t="s">
        <v>830</v>
      </c>
      <c r="R38" s="649" t="s">
        <v>831</v>
      </c>
      <c r="S38" s="319"/>
      <c r="T38" s="319"/>
      <c r="U38" s="319"/>
      <c r="V38" s="319"/>
      <c r="W38" s="319"/>
      <c r="X38" s="319"/>
      <c r="Y38" s="319"/>
      <c r="Z38" s="320"/>
      <c r="AA38" s="320"/>
      <c r="AB38" s="320"/>
      <c r="AC38" s="320"/>
    </row>
    <row r="39" spans="1:29" s="321" customFormat="1" ht="105" x14ac:dyDescent="0.45">
      <c r="A39" s="380" t="s">
        <v>1668</v>
      </c>
      <c r="B39" s="400" t="s">
        <v>1680</v>
      </c>
      <c r="C39" s="293" t="s">
        <v>1692</v>
      </c>
      <c r="D39" s="649" t="s">
        <v>826</v>
      </c>
      <c r="E39" s="649" t="s">
        <v>691</v>
      </c>
      <c r="F39" s="649" t="s">
        <v>827</v>
      </c>
      <c r="G39" s="649" t="s">
        <v>621</v>
      </c>
      <c r="H39" s="649" t="s">
        <v>831</v>
      </c>
      <c r="I39" s="649" t="s">
        <v>831</v>
      </c>
      <c r="J39" s="649" t="s">
        <v>831</v>
      </c>
      <c r="K39" s="649" t="s">
        <v>831</v>
      </c>
      <c r="L39" s="649" t="s">
        <v>831</v>
      </c>
      <c r="M39" s="649" t="s">
        <v>829</v>
      </c>
      <c r="N39" s="649" t="s">
        <v>831</v>
      </c>
      <c r="O39" s="649" t="s">
        <v>831</v>
      </c>
      <c r="P39" s="649" t="s">
        <v>828</v>
      </c>
      <c r="Q39" s="649" t="s">
        <v>830</v>
      </c>
      <c r="R39" s="649" t="s">
        <v>831</v>
      </c>
      <c r="S39" s="319"/>
      <c r="T39" s="319"/>
      <c r="U39" s="319"/>
      <c r="V39" s="319"/>
      <c r="W39" s="319"/>
      <c r="X39" s="319"/>
      <c r="Y39" s="319"/>
      <c r="Z39" s="320"/>
      <c r="AA39" s="320"/>
      <c r="AB39" s="320"/>
      <c r="AC39" s="320"/>
    </row>
    <row r="40" spans="1:29" s="321" customFormat="1" ht="105" x14ac:dyDescent="0.45">
      <c r="A40" s="380" t="s">
        <v>1669</v>
      </c>
      <c r="B40" s="400" t="s">
        <v>1681</v>
      </c>
      <c r="C40" s="293" t="s">
        <v>1693</v>
      </c>
      <c r="D40" s="649" t="s">
        <v>826</v>
      </c>
      <c r="E40" s="649" t="s">
        <v>691</v>
      </c>
      <c r="F40" s="649" t="s">
        <v>827</v>
      </c>
      <c r="G40" s="649" t="s">
        <v>621</v>
      </c>
      <c r="H40" s="649" t="s">
        <v>831</v>
      </c>
      <c r="I40" s="649" t="s">
        <v>831</v>
      </c>
      <c r="J40" s="649" t="s">
        <v>831</v>
      </c>
      <c r="K40" s="649" t="s">
        <v>831</v>
      </c>
      <c r="L40" s="649" t="s">
        <v>831</v>
      </c>
      <c r="M40" s="649" t="s">
        <v>829</v>
      </c>
      <c r="N40" s="649" t="s">
        <v>831</v>
      </c>
      <c r="O40" s="649" t="s">
        <v>831</v>
      </c>
      <c r="P40" s="649" t="s">
        <v>828</v>
      </c>
      <c r="Q40" s="649" t="s">
        <v>830</v>
      </c>
      <c r="R40" s="649" t="s">
        <v>831</v>
      </c>
      <c r="S40" s="319"/>
      <c r="T40" s="319"/>
      <c r="U40" s="319"/>
      <c r="V40" s="319"/>
      <c r="W40" s="319"/>
      <c r="X40" s="319"/>
      <c r="Y40" s="319"/>
      <c r="Z40" s="320"/>
      <c r="AA40" s="320"/>
      <c r="AB40" s="320"/>
      <c r="AC40" s="320"/>
    </row>
    <row r="41" spans="1:29" s="321" customFormat="1" ht="105" x14ac:dyDescent="0.45">
      <c r="A41" s="380" t="s">
        <v>1670</v>
      </c>
      <c r="B41" s="400" t="s">
        <v>1682</v>
      </c>
      <c r="C41" s="293" t="s">
        <v>1694</v>
      </c>
      <c r="D41" s="649" t="s">
        <v>826</v>
      </c>
      <c r="E41" s="649" t="s">
        <v>691</v>
      </c>
      <c r="F41" s="649" t="s">
        <v>827</v>
      </c>
      <c r="G41" s="649" t="s">
        <v>621</v>
      </c>
      <c r="H41" s="649" t="s">
        <v>831</v>
      </c>
      <c r="I41" s="649" t="s">
        <v>831</v>
      </c>
      <c r="J41" s="649" t="s">
        <v>831</v>
      </c>
      <c r="K41" s="649" t="s">
        <v>831</v>
      </c>
      <c r="L41" s="649" t="s">
        <v>831</v>
      </c>
      <c r="M41" s="649" t="s">
        <v>829</v>
      </c>
      <c r="N41" s="649" t="s">
        <v>831</v>
      </c>
      <c r="O41" s="649" t="s">
        <v>831</v>
      </c>
      <c r="P41" s="649" t="s">
        <v>828</v>
      </c>
      <c r="Q41" s="649" t="s">
        <v>830</v>
      </c>
      <c r="R41" s="649" t="s">
        <v>831</v>
      </c>
      <c r="S41" s="319"/>
      <c r="T41" s="319"/>
      <c r="U41" s="319"/>
      <c r="V41" s="319"/>
      <c r="W41" s="319"/>
      <c r="X41" s="319"/>
      <c r="Y41" s="319"/>
      <c r="Z41" s="320"/>
      <c r="AA41" s="320"/>
      <c r="AB41" s="320"/>
      <c r="AC41" s="320"/>
    </row>
    <row r="42" spans="1:29" s="321" customFormat="1" ht="105" x14ac:dyDescent="0.45">
      <c r="A42" s="153" t="s">
        <v>1716</v>
      </c>
      <c r="B42" s="154" t="s">
        <v>1715</v>
      </c>
      <c r="C42" s="293" t="s">
        <v>1730</v>
      </c>
      <c r="D42" s="649" t="s">
        <v>826</v>
      </c>
      <c r="E42" s="649" t="s">
        <v>691</v>
      </c>
      <c r="F42" s="649" t="s">
        <v>827</v>
      </c>
      <c r="G42" s="649" t="s">
        <v>621</v>
      </c>
      <c r="H42" s="649" t="s">
        <v>831</v>
      </c>
      <c r="I42" s="649" t="s">
        <v>831</v>
      </c>
      <c r="J42" s="649" t="s">
        <v>831</v>
      </c>
      <c r="K42" s="649" t="s">
        <v>831</v>
      </c>
      <c r="L42" s="649" t="s">
        <v>831</v>
      </c>
      <c r="M42" s="649" t="s">
        <v>829</v>
      </c>
      <c r="N42" s="649" t="s">
        <v>831</v>
      </c>
      <c r="O42" s="649" t="s">
        <v>831</v>
      </c>
      <c r="P42" s="649" t="s">
        <v>828</v>
      </c>
      <c r="Q42" s="649" t="s">
        <v>830</v>
      </c>
      <c r="R42" s="649" t="s">
        <v>831</v>
      </c>
      <c r="S42" s="319"/>
      <c r="T42" s="319"/>
      <c r="U42" s="319"/>
      <c r="V42" s="319"/>
      <c r="W42" s="319"/>
      <c r="X42" s="319"/>
      <c r="Y42" s="319"/>
      <c r="Z42" s="320"/>
      <c r="AA42" s="320"/>
      <c r="AB42" s="320"/>
      <c r="AC42" s="320"/>
    </row>
    <row r="43" spans="1:29" s="321" customFormat="1" ht="105" x14ac:dyDescent="0.45">
      <c r="A43" s="543" t="s">
        <v>546</v>
      </c>
      <c r="B43" s="690" t="s">
        <v>739</v>
      </c>
      <c r="C43" s="700" t="s">
        <v>621</v>
      </c>
      <c r="D43" s="701" t="s">
        <v>826</v>
      </c>
      <c r="E43" s="701" t="s">
        <v>691</v>
      </c>
      <c r="F43" s="701" t="s">
        <v>827</v>
      </c>
      <c r="G43" s="701" t="s">
        <v>621</v>
      </c>
      <c r="H43" s="701" t="s">
        <v>831</v>
      </c>
      <c r="I43" s="701" t="s">
        <v>831</v>
      </c>
      <c r="J43" s="701" t="s">
        <v>831</v>
      </c>
      <c r="K43" s="701" t="s">
        <v>831</v>
      </c>
      <c r="L43" s="701" t="s">
        <v>831</v>
      </c>
      <c r="M43" s="701" t="s">
        <v>829</v>
      </c>
      <c r="N43" s="701" t="s">
        <v>831</v>
      </c>
      <c r="O43" s="701" t="s">
        <v>831</v>
      </c>
      <c r="P43" s="701" t="s">
        <v>828</v>
      </c>
      <c r="Q43" s="701" t="s">
        <v>830</v>
      </c>
      <c r="R43" s="701" t="s">
        <v>831</v>
      </c>
      <c r="S43" s="319"/>
      <c r="T43" s="319"/>
      <c r="U43" s="319"/>
      <c r="V43" s="319"/>
      <c r="W43" s="319"/>
      <c r="X43" s="319"/>
      <c r="Y43" s="319"/>
      <c r="Z43" s="320"/>
      <c r="AA43" s="320"/>
      <c r="AB43" s="320"/>
      <c r="AC43" s="320"/>
    </row>
    <row r="44" spans="1:29" s="321" customFormat="1" ht="105" x14ac:dyDescent="0.45">
      <c r="A44" s="380" t="s">
        <v>599</v>
      </c>
      <c r="B44" s="400" t="s">
        <v>740</v>
      </c>
      <c r="C44" s="293" t="s">
        <v>621</v>
      </c>
      <c r="D44" s="649" t="s">
        <v>826</v>
      </c>
      <c r="E44" s="649" t="s">
        <v>691</v>
      </c>
      <c r="F44" s="649" t="s">
        <v>827</v>
      </c>
      <c r="G44" s="649" t="s">
        <v>621</v>
      </c>
      <c r="H44" s="649" t="s">
        <v>831</v>
      </c>
      <c r="I44" s="649" t="s">
        <v>831</v>
      </c>
      <c r="J44" s="649" t="s">
        <v>831</v>
      </c>
      <c r="K44" s="649" t="s">
        <v>831</v>
      </c>
      <c r="L44" s="649" t="s">
        <v>831</v>
      </c>
      <c r="M44" s="649" t="s">
        <v>829</v>
      </c>
      <c r="N44" s="649" t="s">
        <v>831</v>
      </c>
      <c r="O44" s="649" t="s">
        <v>831</v>
      </c>
      <c r="P44" s="649" t="s">
        <v>828</v>
      </c>
      <c r="Q44" s="649" t="s">
        <v>830</v>
      </c>
      <c r="R44" s="649" t="s">
        <v>831</v>
      </c>
      <c r="S44" s="319"/>
      <c r="T44" s="319"/>
      <c r="U44" s="319"/>
      <c r="V44" s="319"/>
      <c r="W44" s="319"/>
      <c r="X44" s="319"/>
      <c r="Y44" s="319"/>
      <c r="Z44" s="320"/>
      <c r="AA44" s="320"/>
      <c r="AB44" s="320"/>
      <c r="AC44" s="320"/>
    </row>
    <row r="45" spans="1:29" s="321" customFormat="1" ht="105" x14ac:dyDescent="0.45">
      <c r="A45" s="702" t="s">
        <v>947</v>
      </c>
      <c r="B45" s="571" t="s">
        <v>948</v>
      </c>
      <c r="C45" s="293" t="s">
        <v>1056</v>
      </c>
      <c r="D45" s="649" t="s">
        <v>826</v>
      </c>
      <c r="E45" s="649" t="s">
        <v>691</v>
      </c>
      <c r="F45" s="649" t="s">
        <v>827</v>
      </c>
      <c r="G45" s="649" t="s">
        <v>621</v>
      </c>
      <c r="H45" s="649" t="s">
        <v>831</v>
      </c>
      <c r="I45" s="649" t="s">
        <v>831</v>
      </c>
      <c r="J45" s="649" t="s">
        <v>831</v>
      </c>
      <c r="K45" s="649" t="s">
        <v>831</v>
      </c>
      <c r="L45" s="649" t="s">
        <v>831</v>
      </c>
      <c r="M45" s="649" t="s">
        <v>829</v>
      </c>
      <c r="N45" s="649" t="s">
        <v>831</v>
      </c>
      <c r="O45" s="649" t="s">
        <v>831</v>
      </c>
      <c r="P45" s="649" t="s">
        <v>828</v>
      </c>
      <c r="Q45" s="649" t="s">
        <v>830</v>
      </c>
      <c r="R45" s="649" t="s">
        <v>831</v>
      </c>
      <c r="S45" s="319"/>
      <c r="T45" s="319"/>
      <c r="U45" s="319"/>
      <c r="V45" s="319"/>
      <c r="W45" s="319"/>
      <c r="X45" s="319"/>
      <c r="Y45" s="319"/>
      <c r="Z45" s="320"/>
      <c r="AA45" s="320"/>
      <c r="AB45" s="320"/>
      <c r="AC45" s="320"/>
    </row>
    <row r="46" spans="1:29" s="286" customFormat="1" ht="105" x14ac:dyDescent="0.45">
      <c r="A46" s="574" t="s">
        <v>547</v>
      </c>
      <c r="B46" s="697" t="s">
        <v>705</v>
      </c>
      <c r="C46" s="698" t="s">
        <v>621</v>
      </c>
      <c r="D46" s="699" t="s">
        <v>826</v>
      </c>
      <c r="E46" s="699" t="s">
        <v>691</v>
      </c>
      <c r="F46" s="699" t="s">
        <v>827</v>
      </c>
      <c r="G46" s="699" t="s">
        <v>621</v>
      </c>
      <c r="H46" s="699" t="s">
        <v>831</v>
      </c>
      <c r="I46" s="699" t="s">
        <v>831</v>
      </c>
      <c r="J46" s="699" t="s">
        <v>831</v>
      </c>
      <c r="K46" s="699" t="s">
        <v>831</v>
      </c>
      <c r="L46" s="699" t="s">
        <v>831</v>
      </c>
      <c r="M46" s="699" t="s">
        <v>829</v>
      </c>
      <c r="N46" s="699" t="s">
        <v>831</v>
      </c>
      <c r="O46" s="699" t="s">
        <v>831</v>
      </c>
      <c r="P46" s="699" t="s">
        <v>828</v>
      </c>
      <c r="Q46" s="699" t="s">
        <v>830</v>
      </c>
      <c r="R46" s="699" t="s">
        <v>831</v>
      </c>
      <c r="S46" s="284"/>
      <c r="T46" s="284"/>
      <c r="U46" s="284"/>
      <c r="V46" s="284"/>
      <c r="W46" s="284"/>
      <c r="X46" s="284"/>
      <c r="Y46" s="284"/>
      <c r="Z46" s="285"/>
      <c r="AA46" s="285"/>
      <c r="AB46" s="285"/>
      <c r="AC46" s="285"/>
    </row>
    <row r="47" spans="1:29" s="286" customFormat="1" ht="105" x14ac:dyDescent="0.45">
      <c r="A47" s="574" t="s">
        <v>604</v>
      </c>
      <c r="B47" s="697" t="s">
        <v>707</v>
      </c>
      <c r="C47" s="698" t="s">
        <v>621</v>
      </c>
      <c r="D47" s="699" t="s">
        <v>826</v>
      </c>
      <c r="E47" s="699" t="s">
        <v>691</v>
      </c>
      <c r="F47" s="699" t="s">
        <v>827</v>
      </c>
      <c r="G47" s="699" t="s">
        <v>621</v>
      </c>
      <c r="H47" s="699" t="s">
        <v>831</v>
      </c>
      <c r="I47" s="699" t="s">
        <v>831</v>
      </c>
      <c r="J47" s="699" t="s">
        <v>831</v>
      </c>
      <c r="K47" s="699" t="s">
        <v>831</v>
      </c>
      <c r="L47" s="699" t="s">
        <v>831</v>
      </c>
      <c r="M47" s="699" t="s">
        <v>829</v>
      </c>
      <c r="N47" s="699" t="s">
        <v>831</v>
      </c>
      <c r="O47" s="699" t="s">
        <v>831</v>
      </c>
      <c r="P47" s="699" t="s">
        <v>828</v>
      </c>
      <c r="Q47" s="699" t="s">
        <v>830</v>
      </c>
      <c r="R47" s="699" t="s">
        <v>831</v>
      </c>
      <c r="S47" s="284"/>
      <c r="T47" s="284"/>
      <c r="U47" s="284"/>
      <c r="V47" s="284"/>
      <c r="W47" s="284"/>
      <c r="X47" s="284"/>
      <c r="Y47" s="284"/>
      <c r="Z47" s="285"/>
      <c r="AA47" s="285"/>
      <c r="AB47" s="285"/>
      <c r="AC47" s="285"/>
    </row>
    <row r="48" spans="1:29" s="286" customFormat="1" ht="105" x14ac:dyDescent="0.45">
      <c r="A48" s="380" t="s">
        <v>885</v>
      </c>
      <c r="B48" s="400" t="s">
        <v>860</v>
      </c>
      <c r="C48" s="293" t="s">
        <v>1057</v>
      </c>
      <c r="D48" s="649" t="s">
        <v>826</v>
      </c>
      <c r="E48" s="649" t="s">
        <v>691</v>
      </c>
      <c r="F48" s="649" t="s">
        <v>827</v>
      </c>
      <c r="G48" s="649" t="s">
        <v>621</v>
      </c>
      <c r="H48" s="649" t="s">
        <v>831</v>
      </c>
      <c r="I48" s="649" t="s">
        <v>831</v>
      </c>
      <c r="J48" s="649" t="s">
        <v>831</v>
      </c>
      <c r="K48" s="649" t="s">
        <v>831</v>
      </c>
      <c r="L48" s="649" t="s">
        <v>831</v>
      </c>
      <c r="M48" s="649" t="s">
        <v>829</v>
      </c>
      <c r="N48" s="649" t="s">
        <v>831</v>
      </c>
      <c r="O48" s="649" t="s">
        <v>831</v>
      </c>
      <c r="P48" s="649" t="s">
        <v>828</v>
      </c>
      <c r="Q48" s="649" t="s">
        <v>830</v>
      </c>
      <c r="R48" s="649" t="s">
        <v>831</v>
      </c>
      <c r="S48" s="284"/>
      <c r="T48" s="284"/>
      <c r="U48" s="284"/>
      <c r="V48" s="284"/>
      <c r="W48" s="284"/>
      <c r="X48" s="284"/>
      <c r="Y48" s="284"/>
      <c r="Z48" s="285"/>
      <c r="AA48" s="285"/>
      <c r="AB48" s="285"/>
      <c r="AC48" s="285"/>
    </row>
    <row r="49" spans="1:29" s="286" customFormat="1" ht="105" x14ac:dyDescent="0.45">
      <c r="A49" s="380" t="s">
        <v>886</v>
      </c>
      <c r="B49" s="400" t="s">
        <v>861</v>
      </c>
      <c r="C49" s="293" t="s">
        <v>1058</v>
      </c>
      <c r="D49" s="649" t="s">
        <v>826</v>
      </c>
      <c r="E49" s="649" t="s">
        <v>691</v>
      </c>
      <c r="F49" s="649" t="s">
        <v>827</v>
      </c>
      <c r="G49" s="649" t="s">
        <v>621</v>
      </c>
      <c r="H49" s="649" t="s">
        <v>831</v>
      </c>
      <c r="I49" s="649" t="s">
        <v>831</v>
      </c>
      <c r="J49" s="649" t="s">
        <v>831</v>
      </c>
      <c r="K49" s="649" t="s">
        <v>831</v>
      </c>
      <c r="L49" s="649" t="s">
        <v>831</v>
      </c>
      <c r="M49" s="649" t="s">
        <v>829</v>
      </c>
      <c r="N49" s="649" t="s">
        <v>831</v>
      </c>
      <c r="O49" s="649" t="s">
        <v>831</v>
      </c>
      <c r="P49" s="649" t="s">
        <v>828</v>
      </c>
      <c r="Q49" s="649" t="s">
        <v>830</v>
      </c>
      <c r="R49" s="649" t="s">
        <v>831</v>
      </c>
      <c r="S49" s="284"/>
      <c r="T49" s="284"/>
      <c r="U49" s="284"/>
      <c r="V49" s="284"/>
      <c r="W49" s="284"/>
      <c r="X49" s="284"/>
      <c r="Y49" s="284"/>
      <c r="Z49" s="285"/>
      <c r="AA49" s="285"/>
      <c r="AB49" s="285"/>
      <c r="AC49" s="285"/>
    </row>
    <row r="50" spans="1:29" s="286" customFormat="1" ht="105" x14ac:dyDescent="0.45">
      <c r="A50" s="380" t="s">
        <v>887</v>
      </c>
      <c r="B50" s="400" t="s">
        <v>862</v>
      </c>
      <c r="C50" s="293" t="s">
        <v>1059</v>
      </c>
      <c r="D50" s="649" t="s">
        <v>826</v>
      </c>
      <c r="E50" s="649" t="s">
        <v>691</v>
      </c>
      <c r="F50" s="649" t="s">
        <v>827</v>
      </c>
      <c r="G50" s="649" t="s">
        <v>621</v>
      </c>
      <c r="H50" s="649" t="s">
        <v>831</v>
      </c>
      <c r="I50" s="649" t="s">
        <v>831</v>
      </c>
      <c r="J50" s="649" t="s">
        <v>831</v>
      </c>
      <c r="K50" s="649" t="s">
        <v>831</v>
      </c>
      <c r="L50" s="649" t="s">
        <v>831</v>
      </c>
      <c r="M50" s="649" t="s">
        <v>829</v>
      </c>
      <c r="N50" s="649" t="s">
        <v>831</v>
      </c>
      <c r="O50" s="649" t="s">
        <v>831</v>
      </c>
      <c r="P50" s="649" t="s">
        <v>828</v>
      </c>
      <c r="Q50" s="649" t="s">
        <v>830</v>
      </c>
      <c r="R50" s="649" t="s">
        <v>831</v>
      </c>
      <c r="S50" s="284"/>
      <c r="T50" s="284"/>
      <c r="U50" s="284"/>
      <c r="V50" s="284"/>
      <c r="W50" s="284"/>
      <c r="X50" s="284"/>
      <c r="Y50" s="284"/>
      <c r="Z50" s="285"/>
      <c r="AA50" s="285"/>
      <c r="AB50" s="285"/>
      <c r="AC50" s="285"/>
    </row>
    <row r="51" spans="1:29" s="286" customFormat="1" ht="105" x14ac:dyDescent="0.45">
      <c r="A51" s="380" t="s">
        <v>888</v>
      </c>
      <c r="B51" s="400" t="s">
        <v>866</v>
      </c>
      <c r="C51" s="293" t="s">
        <v>1060</v>
      </c>
      <c r="D51" s="649" t="s">
        <v>826</v>
      </c>
      <c r="E51" s="649" t="s">
        <v>691</v>
      </c>
      <c r="F51" s="649" t="s">
        <v>827</v>
      </c>
      <c r="G51" s="649" t="s">
        <v>621</v>
      </c>
      <c r="H51" s="649" t="s">
        <v>831</v>
      </c>
      <c r="I51" s="649" t="s">
        <v>831</v>
      </c>
      <c r="J51" s="649" t="s">
        <v>831</v>
      </c>
      <c r="K51" s="649" t="s">
        <v>831</v>
      </c>
      <c r="L51" s="649" t="s">
        <v>831</v>
      </c>
      <c r="M51" s="649" t="s">
        <v>829</v>
      </c>
      <c r="N51" s="649" t="s">
        <v>831</v>
      </c>
      <c r="O51" s="649" t="s">
        <v>831</v>
      </c>
      <c r="P51" s="649" t="s">
        <v>828</v>
      </c>
      <c r="Q51" s="649" t="s">
        <v>830</v>
      </c>
      <c r="R51" s="649" t="s">
        <v>831</v>
      </c>
      <c r="S51" s="284"/>
      <c r="T51" s="284"/>
      <c r="U51" s="284"/>
      <c r="V51" s="284"/>
      <c r="W51" s="284"/>
      <c r="X51" s="284"/>
      <c r="Y51" s="284"/>
      <c r="Z51" s="285"/>
      <c r="AA51" s="285"/>
      <c r="AB51" s="285"/>
      <c r="AC51" s="285"/>
    </row>
    <row r="52" spans="1:29" s="286" customFormat="1" ht="131.25" x14ac:dyDescent="0.45">
      <c r="A52" s="380" t="s">
        <v>889</v>
      </c>
      <c r="B52" s="400" t="s">
        <v>916</v>
      </c>
      <c r="C52" s="293" t="s">
        <v>1061</v>
      </c>
      <c r="D52" s="649" t="s">
        <v>826</v>
      </c>
      <c r="E52" s="649" t="s">
        <v>691</v>
      </c>
      <c r="F52" s="649" t="s">
        <v>827</v>
      </c>
      <c r="G52" s="649" t="s">
        <v>621</v>
      </c>
      <c r="H52" s="649" t="s">
        <v>831</v>
      </c>
      <c r="I52" s="649" t="s">
        <v>831</v>
      </c>
      <c r="J52" s="649" t="s">
        <v>831</v>
      </c>
      <c r="K52" s="649" t="s">
        <v>831</v>
      </c>
      <c r="L52" s="649" t="s">
        <v>831</v>
      </c>
      <c r="M52" s="649" t="s">
        <v>829</v>
      </c>
      <c r="N52" s="649" t="s">
        <v>831</v>
      </c>
      <c r="O52" s="649" t="s">
        <v>831</v>
      </c>
      <c r="P52" s="649" t="s">
        <v>828</v>
      </c>
      <c r="Q52" s="649" t="s">
        <v>830</v>
      </c>
      <c r="R52" s="649" t="s">
        <v>831</v>
      </c>
      <c r="S52" s="284"/>
      <c r="T52" s="284"/>
      <c r="U52" s="284"/>
      <c r="V52" s="284"/>
      <c r="W52" s="284"/>
      <c r="X52" s="284"/>
      <c r="Y52" s="284"/>
      <c r="Z52" s="285"/>
      <c r="AA52" s="285"/>
      <c r="AB52" s="285"/>
      <c r="AC52" s="285"/>
    </row>
    <row r="53" spans="1:29" s="286" customFormat="1" ht="105" x14ac:dyDescent="0.45">
      <c r="A53" s="380" t="s">
        <v>890</v>
      </c>
      <c r="B53" s="400" t="s">
        <v>871</v>
      </c>
      <c r="C53" s="293" t="s">
        <v>1062</v>
      </c>
      <c r="D53" s="649" t="s">
        <v>826</v>
      </c>
      <c r="E53" s="649" t="s">
        <v>691</v>
      </c>
      <c r="F53" s="649" t="s">
        <v>827</v>
      </c>
      <c r="G53" s="649" t="s">
        <v>621</v>
      </c>
      <c r="H53" s="649" t="s">
        <v>831</v>
      </c>
      <c r="I53" s="649" t="s">
        <v>831</v>
      </c>
      <c r="J53" s="649" t="s">
        <v>831</v>
      </c>
      <c r="K53" s="649" t="s">
        <v>831</v>
      </c>
      <c r="L53" s="649" t="s">
        <v>831</v>
      </c>
      <c r="M53" s="649" t="s">
        <v>829</v>
      </c>
      <c r="N53" s="649" t="s">
        <v>831</v>
      </c>
      <c r="O53" s="649" t="s">
        <v>831</v>
      </c>
      <c r="P53" s="649" t="s">
        <v>828</v>
      </c>
      <c r="Q53" s="649" t="s">
        <v>830</v>
      </c>
      <c r="R53" s="649" t="s">
        <v>831</v>
      </c>
      <c r="S53" s="284"/>
      <c r="T53" s="284"/>
      <c r="U53" s="284"/>
      <c r="V53" s="284"/>
      <c r="W53" s="284"/>
      <c r="X53" s="284"/>
      <c r="Y53" s="284"/>
      <c r="Z53" s="285"/>
      <c r="AA53" s="285"/>
      <c r="AB53" s="285"/>
      <c r="AC53" s="285"/>
    </row>
    <row r="54" spans="1:29" s="286" customFormat="1" ht="105" x14ac:dyDescent="0.45">
      <c r="A54" s="380" t="s">
        <v>891</v>
      </c>
      <c r="B54" s="400" t="s">
        <v>872</v>
      </c>
      <c r="C54" s="293" t="s">
        <v>1063</v>
      </c>
      <c r="D54" s="649" t="s">
        <v>826</v>
      </c>
      <c r="E54" s="649" t="s">
        <v>691</v>
      </c>
      <c r="F54" s="649" t="s">
        <v>827</v>
      </c>
      <c r="G54" s="649" t="s">
        <v>621</v>
      </c>
      <c r="H54" s="649" t="s">
        <v>831</v>
      </c>
      <c r="I54" s="649" t="s">
        <v>831</v>
      </c>
      <c r="J54" s="649" t="s">
        <v>831</v>
      </c>
      <c r="K54" s="649" t="s">
        <v>831</v>
      </c>
      <c r="L54" s="649" t="s">
        <v>831</v>
      </c>
      <c r="M54" s="649" t="s">
        <v>829</v>
      </c>
      <c r="N54" s="649" t="s">
        <v>831</v>
      </c>
      <c r="O54" s="649" t="s">
        <v>831</v>
      </c>
      <c r="P54" s="649" t="s">
        <v>828</v>
      </c>
      <c r="Q54" s="649" t="s">
        <v>830</v>
      </c>
      <c r="R54" s="649" t="s">
        <v>831</v>
      </c>
      <c r="S54" s="284"/>
      <c r="T54" s="284"/>
      <c r="U54" s="284"/>
      <c r="V54" s="284"/>
      <c r="W54" s="284"/>
      <c r="X54" s="284"/>
      <c r="Y54" s="284"/>
      <c r="Z54" s="285"/>
      <c r="AA54" s="285"/>
      <c r="AB54" s="285"/>
      <c r="AC54" s="285"/>
    </row>
    <row r="55" spans="1:29" s="286" customFormat="1" ht="105" x14ac:dyDescent="0.45">
      <c r="A55" s="380" t="s">
        <v>892</v>
      </c>
      <c r="B55" s="400" t="s">
        <v>873</v>
      </c>
      <c r="C55" s="293" t="s">
        <v>1064</v>
      </c>
      <c r="D55" s="649" t="s">
        <v>826</v>
      </c>
      <c r="E55" s="649" t="s">
        <v>691</v>
      </c>
      <c r="F55" s="649" t="s">
        <v>827</v>
      </c>
      <c r="G55" s="649" t="s">
        <v>621</v>
      </c>
      <c r="H55" s="649" t="s">
        <v>831</v>
      </c>
      <c r="I55" s="649" t="s">
        <v>831</v>
      </c>
      <c r="J55" s="649" t="s">
        <v>831</v>
      </c>
      <c r="K55" s="649" t="s">
        <v>831</v>
      </c>
      <c r="L55" s="649" t="s">
        <v>831</v>
      </c>
      <c r="M55" s="649" t="s">
        <v>829</v>
      </c>
      <c r="N55" s="649" t="s">
        <v>831</v>
      </c>
      <c r="O55" s="649" t="s">
        <v>831</v>
      </c>
      <c r="P55" s="649" t="s">
        <v>828</v>
      </c>
      <c r="Q55" s="649" t="s">
        <v>830</v>
      </c>
      <c r="R55" s="649" t="s">
        <v>831</v>
      </c>
      <c r="S55" s="284"/>
      <c r="T55" s="284"/>
      <c r="U55" s="284"/>
      <c r="V55" s="284"/>
      <c r="W55" s="284"/>
      <c r="X55" s="284"/>
      <c r="Y55" s="284"/>
      <c r="Z55" s="285"/>
      <c r="AA55" s="285"/>
      <c r="AB55" s="285"/>
      <c r="AC55" s="285"/>
    </row>
    <row r="56" spans="1:29" s="286" customFormat="1" ht="105" x14ac:dyDescent="0.45">
      <c r="A56" s="380" t="s">
        <v>893</v>
      </c>
      <c r="B56" s="400" t="s">
        <v>877</v>
      </c>
      <c r="C56" s="293" t="s">
        <v>1065</v>
      </c>
      <c r="D56" s="649" t="s">
        <v>826</v>
      </c>
      <c r="E56" s="649" t="s">
        <v>691</v>
      </c>
      <c r="F56" s="649" t="s">
        <v>827</v>
      </c>
      <c r="G56" s="649" t="s">
        <v>621</v>
      </c>
      <c r="H56" s="649" t="s">
        <v>831</v>
      </c>
      <c r="I56" s="649" t="s">
        <v>831</v>
      </c>
      <c r="J56" s="649" t="s">
        <v>831</v>
      </c>
      <c r="K56" s="649" t="s">
        <v>831</v>
      </c>
      <c r="L56" s="649" t="s">
        <v>831</v>
      </c>
      <c r="M56" s="649" t="s">
        <v>829</v>
      </c>
      <c r="N56" s="649" t="s">
        <v>831</v>
      </c>
      <c r="O56" s="649" t="s">
        <v>831</v>
      </c>
      <c r="P56" s="649" t="s">
        <v>828</v>
      </c>
      <c r="Q56" s="649" t="s">
        <v>830</v>
      </c>
      <c r="R56" s="649" t="s">
        <v>831</v>
      </c>
      <c r="S56" s="284"/>
      <c r="T56" s="284"/>
      <c r="U56" s="284"/>
      <c r="V56" s="284"/>
      <c r="W56" s="284"/>
      <c r="X56" s="284"/>
      <c r="Y56" s="284"/>
      <c r="Z56" s="285"/>
      <c r="AA56" s="285"/>
      <c r="AB56" s="285"/>
      <c r="AC56" s="285"/>
    </row>
    <row r="57" spans="1:29" s="286" customFormat="1" ht="105" x14ac:dyDescent="0.45">
      <c r="A57" s="380" t="s">
        <v>894</v>
      </c>
      <c r="B57" s="400" t="s">
        <v>878</v>
      </c>
      <c r="C57" s="293" t="s">
        <v>1066</v>
      </c>
      <c r="D57" s="649" t="s">
        <v>826</v>
      </c>
      <c r="E57" s="649" t="s">
        <v>691</v>
      </c>
      <c r="F57" s="649" t="s">
        <v>827</v>
      </c>
      <c r="G57" s="649" t="s">
        <v>621</v>
      </c>
      <c r="H57" s="649" t="s">
        <v>831</v>
      </c>
      <c r="I57" s="649" t="s">
        <v>831</v>
      </c>
      <c r="J57" s="649" t="s">
        <v>831</v>
      </c>
      <c r="K57" s="649" t="s">
        <v>831</v>
      </c>
      <c r="L57" s="649" t="s">
        <v>831</v>
      </c>
      <c r="M57" s="649" t="s">
        <v>829</v>
      </c>
      <c r="N57" s="649" t="s">
        <v>831</v>
      </c>
      <c r="O57" s="649" t="s">
        <v>831</v>
      </c>
      <c r="P57" s="649" t="s">
        <v>828</v>
      </c>
      <c r="Q57" s="649" t="s">
        <v>830</v>
      </c>
      <c r="R57" s="649" t="s">
        <v>831</v>
      </c>
      <c r="S57" s="284"/>
      <c r="T57" s="284"/>
      <c r="U57" s="284"/>
      <c r="V57" s="284"/>
      <c r="W57" s="284"/>
      <c r="X57" s="284"/>
      <c r="Y57" s="284"/>
      <c r="Z57" s="285"/>
      <c r="AA57" s="285"/>
      <c r="AB57" s="285"/>
      <c r="AC57" s="285"/>
    </row>
    <row r="58" spans="1:29" s="286" customFormat="1" ht="105" x14ac:dyDescent="0.45">
      <c r="A58" s="380" t="s">
        <v>895</v>
      </c>
      <c r="B58" s="400" t="s">
        <v>879</v>
      </c>
      <c r="C58" s="293" t="s">
        <v>1067</v>
      </c>
      <c r="D58" s="649" t="s">
        <v>826</v>
      </c>
      <c r="E58" s="649" t="s">
        <v>691</v>
      </c>
      <c r="F58" s="649" t="s">
        <v>827</v>
      </c>
      <c r="G58" s="649" t="s">
        <v>621</v>
      </c>
      <c r="H58" s="649" t="s">
        <v>831</v>
      </c>
      <c r="I58" s="649" t="s">
        <v>831</v>
      </c>
      <c r="J58" s="649" t="s">
        <v>831</v>
      </c>
      <c r="K58" s="649" t="s">
        <v>831</v>
      </c>
      <c r="L58" s="649" t="s">
        <v>831</v>
      </c>
      <c r="M58" s="649" t="s">
        <v>829</v>
      </c>
      <c r="N58" s="649" t="s">
        <v>831</v>
      </c>
      <c r="O58" s="649" t="s">
        <v>831</v>
      </c>
      <c r="P58" s="649" t="s">
        <v>828</v>
      </c>
      <c r="Q58" s="649" t="s">
        <v>830</v>
      </c>
      <c r="R58" s="649" t="s">
        <v>831</v>
      </c>
      <c r="S58" s="284"/>
      <c r="T58" s="284"/>
      <c r="U58" s="284"/>
      <c r="V58" s="284"/>
      <c r="W58" s="284"/>
      <c r="X58" s="284"/>
      <c r="Y58" s="284"/>
      <c r="Z58" s="285"/>
      <c r="AA58" s="285"/>
      <c r="AB58" s="285"/>
      <c r="AC58" s="285"/>
    </row>
    <row r="59" spans="1:29" s="286" customFormat="1" ht="105" x14ac:dyDescent="0.45">
      <c r="A59" s="380" t="s">
        <v>896</v>
      </c>
      <c r="B59" s="400" t="s">
        <v>880</v>
      </c>
      <c r="C59" s="293" t="s">
        <v>1068</v>
      </c>
      <c r="D59" s="649" t="s">
        <v>826</v>
      </c>
      <c r="E59" s="649" t="s">
        <v>691</v>
      </c>
      <c r="F59" s="649" t="s">
        <v>827</v>
      </c>
      <c r="G59" s="649" t="s">
        <v>621</v>
      </c>
      <c r="H59" s="649" t="s">
        <v>831</v>
      </c>
      <c r="I59" s="649" t="s">
        <v>831</v>
      </c>
      <c r="J59" s="649" t="s">
        <v>831</v>
      </c>
      <c r="K59" s="649" t="s">
        <v>831</v>
      </c>
      <c r="L59" s="649" t="s">
        <v>831</v>
      </c>
      <c r="M59" s="649" t="s">
        <v>829</v>
      </c>
      <c r="N59" s="649" t="s">
        <v>831</v>
      </c>
      <c r="O59" s="649" t="s">
        <v>831</v>
      </c>
      <c r="P59" s="649" t="s">
        <v>828</v>
      </c>
      <c r="Q59" s="649" t="s">
        <v>830</v>
      </c>
      <c r="R59" s="649" t="s">
        <v>831</v>
      </c>
      <c r="S59" s="284"/>
      <c r="T59" s="284"/>
      <c r="U59" s="284"/>
      <c r="V59" s="284"/>
      <c r="W59" s="284"/>
      <c r="X59" s="284"/>
      <c r="Y59" s="284"/>
      <c r="Z59" s="285"/>
      <c r="AA59" s="285"/>
      <c r="AB59" s="285"/>
      <c r="AC59" s="285"/>
    </row>
    <row r="60" spans="1:29" s="286" customFormat="1" ht="105" x14ac:dyDescent="0.45">
      <c r="A60" s="380" t="s">
        <v>897</v>
      </c>
      <c r="B60" s="400" t="s">
        <v>881</v>
      </c>
      <c r="C60" s="293" t="s">
        <v>1069</v>
      </c>
      <c r="D60" s="649" t="s">
        <v>826</v>
      </c>
      <c r="E60" s="649" t="s">
        <v>691</v>
      </c>
      <c r="F60" s="649" t="s">
        <v>827</v>
      </c>
      <c r="G60" s="649" t="s">
        <v>621</v>
      </c>
      <c r="H60" s="649" t="s">
        <v>831</v>
      </c>
      <c r="I60" s="649" t="s">
        <v>831</v>
      </c>
      <c r="J60" s="649" t="s">
        <v>831</v>
      </c>
      <c r="K60" s="649" t="s">
        <v>831</v>
      </c>
      <c r="L60" s="649" t="s">
        <v>831</v>
      </c>
      <c r="M60" s="649" t="s">
        <v>829</v>
      </c>
      <c r="N60" s="649" t="s">
        <v>831</v>
      </c>
      <c r="O60" s="649" t="s">
        <v>831</v>
      </c>
      <c r="P60" s="649" t="s">
        <v>828</v>
      </c>
      <c r="Q60" s="649" t="s">
        <v>830</v>
      </c>
      <c r="R60" s="649" t="s">
        <v>831</v>
      </c>
      <c r="S60" s="284"/>
      <c r="T60" s="284"/>
      <c r="U60" s="284"/>
      <c r="V60" s="284"/>
      <c r="W60" s="284"/>
      <c r="X60" s="284"/>
      <c r="Y60" s="284"/>
      <c r="Z60" s="285"/>
      <c r="AA60" s="285"/>
      <c r="AB60" s="285"/>
      <c r="AC60" s="285"/>
    </row>
    <row r="61" spans="1:29" s="286" customFormat="1" ht="105" x14ac:dyDescent="0.45">
      <c r="A61" s="380" t="s">
        <v>898</v>
      </c>
      <c r="B61" s="400" t="s">
        <v>882</v>
      </c>
      <c r="C61" s="293" t="s">
        <v>1070</v>
      </c>
      <c r="D61" s="649" t="s">
        <v>826</v>
      </c>
      <c r="E61" s="649" t="s">
        <v>691</v>
      </c>
      <c r="F61" s="649" t="s">
        <v>827</v>
      </c>
      <c r="G61" s="649" t="s">
        <v>621</v>
      </c>
      <c r="H61" s="649" t="s">
        <v>831</v>
      </c>
      <c r="I61" s="649" t="s">
        <v>831</v>
      </c>
      <c r="J61" s="649" t="s">
        <v>831</v>
      </c>
      <c r="K61" s="649" t="s">
        <v>831</v>
      </c>
      <c r="L61" s="649" t="s">
        <v>831</v>
      </c>
      <c r="M61" s="649" t="s">
        <v>829</v>
      </c>
      <c r="N61" s="649" t="s">
        <v>831</v>
      </c>
      <c r="O61" s="649" t="s">
        <v>831</v>
      </c>
      <c r="P61" s="649" t="s">
        <v>828</v>
      </c>
      <c r="Q61" s="649" t="s">
        <v>830</v>
      </c>
      <c r="R61" s="649" t="s">
        <v>831</v>
      </c>
      <c r="S61" s="284"/>
      <c r="T61" s="284"/>
      <c r="U61" s="284"/>
      <c r="V61" s="284"/>
      <c r="W61" s="284"/>
      <c r="X61" s="284"/>
      <c r="Y61" s="284"/>
      <c r="Z61" s="285"/>
      <c r="AA61" s="285"/>
      <c r="AB61" s="285"/>
      <c r="AC61" s="285"/>
    </row>
    <row r="62" spans="1:29" s="286" customFormat="1" ht="105" x14ac:dyDescent="0.45">
      <c r="A62" s="380" t="s">
        <v>899</v>
      </c>
      <c r="B62" s="400" t="s">
        <v>883</v>
      </c>
      <c r="C62" s="293" t="s">
        <v>1071</v>
      </c>
      <c r="D62" s="649" t="s">
        <v>826</v>
      </c>
      <c r="E62" s="649" t="s">
        <v>691</v>
      </c>
      <c r="F62" s="649" t="s">
        <v>827</v>
      </c>
      <c r="G62" s="649" t="s">
        <v>621</v>
      </c>
      <c r="H62" s="649" t="s">
        <v>831</v>
      </c>
      <c r="I62" s="649" t="s">
        <v>831</v>
      </c>
      <c r="J62" s="649" t="s">
        <v>831</v>
      </c>
      <c r="K62" s="649" t="s">
        <v>831</v>
      </c>
      <c r="L62" s="649" t="s">
        <v>831</v>
      </c>
      <c r="M62" s="649" t="s">
        <v>829</v>
      </c>
      <c r="N62" s="649" t="s">
        <v>831</v>
      </c>
      <c r="O62" s="649" t="s">
        <v>831</v>
      </c>
      <c r="P62" s="649" t="s">
        <v>828</v>
      </c>
      <c r="Q62" s="649" t="s">
        <v>830</v>
      </c>
      <c r="R62" s="649" t="s">
        <v>831</v>
      </c>
      <c r="S62" s="284"/>
      <c r="T62" s="284"/>
      <c r="U62" s="284"/>
      <c r="V62" s="284"/>
      <c r="W62" s="284"/>
      <c r="X62" s="284"/>
      <c r="Y62" s="284"/>
      <c r="Z62" s="285"/>
      <c r="AA62" s="285"/>
      <c r="AB62" s="285"/>
      <c r="AC62" s="285"/>
    </row>
    <row r="63" spans="1:29" s="286" customFormat="1" ht="105" x14ac:dyDescent="0.45">
      <c r="A63" s="380" t="s">
        <v>900</v>
      </c>
      <c r="B63" s="400" t="s">
        <v>902</v>
      </c>
      <c r="C63" s="293" t="s">
        <v>1072</v>
      </c>
      <c r="D63" s="649" t="s">
        <v>826</v>
      </c>
      <c r="E63" s="649" t="s">
        <v>691</v>
      </c>
      <c r="F63" s="649" t="s">
        <v>827</v>
      </c>
      <c r="G63" s="649" t="s">
        <v>621</v>
      </c>
      <c r="H63" s="649" t="s">
        <v>831</v>
      </c>
      <c r="I63" s="649" t="s">
        <v>831</v>
      </c>
      <c r="J63" s="649" t="s">
        <v>831</v>
      </c>
      <c r="K63" s="649" t="s">
        <v>831</v>
      </c>
      <c r="L63" s="649" t="s">
        <v>831</v>
      </c>
      <c r="M63" s="649" t="s">
        <v>829</v>
      </c>
      <c r="N63" s="649" t="s">
        <v>831</v>
      </c>
      <c r="O63" s="649" t="s">
        <v>831</v>
      </c>
      <c r="P63" s="649" t="s">
        <v>828</v>
      </c>
      <c r="Q63" s="649" t="s">
        <v>830</v>
      </c>
      <c r="R63" s="649" t="s">
        <v>831</v>
      </c>
      <c r="S63" s="284"/>
      <c r="T63" s="284"/>
      <c r="U63" s="284"/>
      <c r="V63" s="284"/>
      <c r="W63" s="284"/>
      <c r="X63" s="284"/>
      <c r="Y63" s="284"/>
      <c r="Z63" s="285"/>
      <c r="AA63" s="285"/>
      <c r="AB63" s="285"/>
      <c r="AC63" s="285"/>
    </row>
    <row r="64" spans="1:29" s="321" customFormat="1" ht="105" x14ac:dyDescent="0.45">
      <c r="A64" s="380" t="s">
        <v>919</v>
      </c>
      <c r="B64" s="400" t="s">
        <v>917</v>
      </c>
      <c r="C64" s="293" t="s">
        <v>1073</v>
      </c>
      <c r="D64" s="649" t="s">
        <v>826</v>
      </c>
      <c r="E64" s="649" t="s">
        <v>691</v>
      </c>
      <c r="F64" s="649" t="s">
        <v>827</v>
      </c>
      <c r="G64" s="649" t="s">
        <v>621</v>
      </c>
      <c r="H64" s="649" t="s">
        <v>831</v>
      </c>
      <c r="I64" s="649" t="s">
        <v>831</v>
      </c>
      <c r="J64" s="649" t="s">
        <v>831</v>
      </c>
      <c r="K64" s="649" t="s">
        <v>831</v>
      </c>
      <c r="L64" s="649" t="s">
        <v>831</v>
      </c>
      <c r="M64" s="649" t="s">
        <v>829</v>
      </c>
      <c r="N64" s="649" t="s">
        <v>831</v>
      </c>
      <c r="O64" s="649" t="s">
        <v>831</v>
      </c>
      <c r="P64" s="649" t="s">
        <v>828</v>
      </c>
      <c r="Q64" s="649" t="s">
        <v>830</v>
      </c>
      <c r="R64" s="649" t="s">
        <v>831</v>
      </c>
      <c r="S64" s="319"/>
      <c r="T64" s="319"/>
      <c r="U64" s="319"/>
      <c r="V64" s="319"/>
      <c r="W64" s="319"/>
      <c r="X64" s="319"/>
      <c r="Y64" s="319"/>
      <c r="Z64" s="320"/>
      <c r="AA64" s="320"/>
      <c r="AB64" s="320"/>
      <c r="AC64" s="320"/>
    </row>
    <row r="65" spans="1:29" s="321" customFormat="1" ht="105" hidden="1" x14ac:dyDescent="0.45">
      <c r="A65" s="543" t="s">
        <v>741</v>
      </c>
      <c r="B65" s="690" t="s">
        <v>690</v>
      </c>
      <c r="C65" s="293" t="s">
        <v>1736</v>
      </c>
      <c r="D65" s="649" t="s">
        <v>826</v>
      </c>
      <c r="E65" s="649" t="s">
        <v>691</v>
      </c>
      <c r="F65" s="649" t="s">
        <v>827</v>
      </c>
      <c r="G65" s="649" t="s">
        <v>621</v>
      </c>
      <c r="H65" s="649" t="s">
        <v>831</v>
      </c>
      <c r="I65" s="649" t="s">
        <v>831</v>
      </c>
      <c r="J65" s="649" t="s">
        <v>831</v>
      </c>
      <c r="K65" s="649" t="s">
        <v>831</v>
      </c>
      <c r="L65" s="649" t="s">
        <v>831</v>
      </c>
      <c r="M65" s="649" t="s">
        <v>829</v>
      </c>
      <c r="N65" s="649" t="s">
        <v>831</v>
      </c>
      <c r="O65" s="649" t="s">
        <v>831</v>
      </c>
      <c r="P65" s="649" t="s">
        <v>828</v>
      </c>
      <c r="Q65" s="649" t="s">
        <v>830</v>
      </c>
      <c r="R65" s="649" t="s">
        <v>831</v>
      </c>
      <c r="S65" s="319"/>
      <c r="T65" s="319"/>
      <c r="U65" s="319"/>
      <c r="V65" s="319"/>
      <c r="W65" s="319"/>
      <c r="X65" s="319"/>
      <c r="Y65" s="319"/>
      <c r="Z65" s="320"/>
      <c r="AA65" s="320"/>
      <c r="AB65" s="320"/>
      <c r="AC65" s="320"/>
    </row>
    <row r="66" spans="1:29" ht="105" hidden="1" x14ac:dyDescent="0.45">
      <c r="A66" s="380"/>
      <c r="B66" s="571"/>
      <c r="C66" s="293" t="s">
        <v>1737</v>
      </c>
      <c r="D66" s="649" t="s">
        <v>826</v>
      </c>
      <c r="E66" s="649" t="s">
        <v>691</v>
      </c>
      <c r="F66" s="649" t="s">
        <v>827</v>
      </c>
      <c r="G66" s="649" t="s">
        <v>621</v>
      </c>
      <c r="H66" s="649" t="s">
        <v>831</v>
      </c>
      <c r="I66" s="649" t="s">
        <v>831</v>
      </c>
      <c r="J66" s="649" t="s">
        <v>831</v>
      </c>
      <c r="K66" s="649" t="s">
        <v>831</v>
      </c>
      <c r="L66" s="649" t="s">
        <v>831</v>
      </c>
      <c r="M66" s="649" t="s">
        <v>829</v>
      </c>
      <c r="N66" s="649" t="s">
        <v>831</v>
      </c>
      <c r="O66" s="649" t="s">
        <v>831</v>
      </c>
      <c r="P66" s="649" t="s">
        <v>828</v>
      </c>
      <c r="Q66" s="649" t="s">
        <v>830</v>
      </c>
      <c r="R66" s="649" t="s">
        <v>831</v>
      </c>
    </row>
    <row r="67" spans="1:29" ht="105" x14ac:dyDescent="0.45">
      <c r="A67" s="380" t="s">
        <v>920</v>
      </c>
      <c r="B67" s="990" t="s">
        <v>1717</v>
      </c>
      <c r="C67" s="293" t="s">
        <v>1738</v>
      </c>
      <c r="D67" s="649" t="s">
        <v>826</v>
      </c>
      <c r="E67" s="649" t="s">
        <v>691</v>
      </c>
      <c r="F67" s="649" t="s">
        <v>827</v>
      </c>
      <c r="G67" s="649" t="s">
        <v>621</v>
      </c>
      <c r="H67" s="649" t="s">
        <v>831</v>
      </c>
      <c r="I67" s="649" t="s">
        <v>831</v>
      </c>
      <c r="J67" s="649" t="s">
        <v>831</v>
      </c>
      <c r="K67" s="649" t="s">
        <v>831</v>
      </c>
      <c r="L67" s="649" t="s">
        <v>831</v>
      </c>
      <c r="M67" s="649" t="s">
        <v>829</v>
      </c>
      <c r="N67" s="649" t="s">
        <v>831</v>
      </c>
      <c r="O67" s="649" t="s">
        <v>831</v>
      </c>
      <c r="P67" s="649" t="s">
        <v>828</v>
      </c>
      <c r="Q67" s="649" t="s">
        <v>830</v>
      </c>
      <c r="R67" s="649" t="s">
        <v>831</v>
      </c>
    </row>
    <row r="68" spans="1:29" ht="105" x14ac:dyDescent="0.45">
      <c r="A68" s="380" t="s">
        <v>921</v>
      </c>
      <c r="B68" s="990" t="s">
        <v>1718</v>
      </c>
      <c r="C68" s="293" t="s">
        <v>1739</v>
      </c>
      <c r="D68" s="649" t="s">
        <v>826</v>
      </c>
      <c r="E68" s="649" t="s">
        <v>691</v>
      </c>
      <c r="F68" s="649" t="s">
        <v>827</v>
      </c>
      <c r="G68" s="649" t="s">
        <v>621</v>
      </c>
      <c r="H68" s="649" t="s">
        <v>831</v>
      </c>
      <c r="I68" s="649" t="s">
        <v>831</v>
      </c>
      <c r="J68" s="649" t="s">
        <v>831</v>
      </c>
      <c r="K68" s="649" t="s">
        <v>831</v>
      </c>
      <c r="L68" s="649" t="s">
        <v>831</v>
      </c>
      <c r="M68" s="649" t="s">
        <v>829</v>
      </c>
      <c r="N68" s="649" t="s">
        <v>831</v>
      </c>
      <c r="O68" s="649" t="s">
        <v>831</v>
      </c>
      <c r="P68" s="649" t="s">
        <v>828</v>
      </c>
      <c r="Q68" s="649" t="s">
        <v>830</v>
      </c>
      <c r="R68" s="649" t="s">
        <v>831</v>
      </c>
    </row>
    <row r="69" spans="1:29" ht="120" x14ac:dyDescent="0.45">
      <c r="A69" s="308" t="s">
        <v>741</v>
      </c>
      <c r="B69" s="267" t="s">
        <v>1653</v>
      </c>
      <c r="C69" s="305" t="s">
        <v>621</v>
      </c>
      <c r="D69" s="696" t="s">
        <v>826</v>
      </c>
      <c r="E69" s="696" t="s">
        <v>691</v>
      </c>
      <c r="F69" s="696" t="s">
        <v>827</v>
      </c>
      <c r="G69" s="696" t="s">
        <v>621</v>
      </c>
      <c r="H69" s="696" t="s">
        <v>831</v>
      </c>
      <c r="I69" s="696" t="s">
        <v>831</v>
      </c>
      <c r="J69" s="696" t="s">
        <v>831</v>
      </c>
      <c r="K69" s="696" t="s">
        <v>831</v>
      </c>
      <c r="L69" s="696" t="s">
        <v>831</v>
      </c>
      <c r="M69" s="696" t="s">
        <v>829</v>
      </c>
      <c r="N69" s="696" t="s">
        <v>831</v>
      </c>
      <c r="O69" s="696" t="s">
        <v>831</v>
      </c>
      <c r="P69" s="696" t="s">
        <v>828</v>
      </c>
      <c r="Q69" s="696" t="s">
        <v>830</v>
      </c>
      <c r="R69" s="696" t="s">
        <v>831</v>
      </c>
    </row>
    <row r="70" spans="1:29" ht="153.75" x14ac:dyDescent="0.45">
      <c r="A70" s="316" t="s">
        <v>741</v>
      </c>
      <c r="B70" s="655" t="s">
        <v>1654</v>
      </c>
      <c r="C70" s="433" t="str">
        <f>CONCATENATE("J","_",2021,"_",A70)</f>
        <v>J_2021_1.6</v>
      </c>
      <c r="D70" s="649" t="s">
        <v>826</v>
      </c>
      <c r="E70" s="649" t="s">
        <v>691</v>
      </c>
      <c r="F70" s="649" t="s">
        <v>827</v>
      </c>
      <c r="G70" s="649" t="s">
        <v>621</v>
      </c>
      <c r="H70" s="649" t="s">
        <v>831</v>
      </c>
      <c r="I70" s="649" t="s">
        <v>831</v>
      </c>
      <c r="J70" s="649" t="s">
        <v>831</v>
      </c>
      <c r="K70" s="649" t="s">
        <v>831</v>
      </c>
      <c r="L70" s="649" t="s">
        <v>831</v>
      </c>
      <c r="M70" s="649" t="s">
        <v>829</v>
      </c>
      <c r="N70" s="649" t="s">
        <v>831</v>
      </c>
      <c r="O70" s="649" t="s">
        <v>831</v>
      </c>
      <c r="P70" s="649" t="s">
        <v>828</v>
      </c>
      <c r="Q70" s="649" t="s">
        <v>830</v>
      </c>
      <c r="R70" s="649" t="s">
        <v>831</v>
      </c>
    </row>
    <row r="71" spans="1:29" x14ac:dyDescent="0.45">
      <c r="A71" s="687"/>
      <c r="B71" s="652"/>
      <c r="C71" s="688"/>
      <c r="D71" s="689"/>
      <c r="E71" s="689"/>
      <c r="F71" s="689"/>
      <c r="G71" s="688"/>
      <c r="H71" s="688"/>
      <c r="I71" s="688"/>
      <c r="J71" s="688"/>
      <c r="K71" s="688"/>
      <c r="L71" s="688"/>
      <c r="M71" s="688"/>
      <c r="N71" s="688"/>
      <c r="O71" s="688"/>
      <c r="P71" s="688"/>
      <c r="Q71" s="688"/>
      <c r="R71" s="688"/>
    </row>
    <row r="73" spans="1:29" x14ac:dyDescent="0.45">
      <c r="A73" s="703"/>
      <c r="B73" s="704"/>
      <c r="C73" s="704"/>
      <c r="D73" s="704"/>
      <c r="E73" s="704"/>
      <c r="F73" s="704"/>
      <c r="G73" s="704"/>
      <c r="H73" s="704"/>
      <c r="I73" s="704"/>
      <c r="J73" s="704"/>
      <c r="K73" s="704"/>
      <c r="L73" s="704"/>
      <c r="M73" s="704"/>
      <c r="N73" s="704"/>
      <c r="O73" s="704"/>
      <c r="P73" s="704"/>
      <c r="Q73" s="704"/>
      <c r="R73" s="704"/>
    </row>
    <row r="74" spans="1:29" x14ac:dyDescent="0.45">
      <c r="A74" s="703"/>
      <c r="B74" s="435" t="s">
        <v>841</v>
      </c>
      <c r="C74" s="435"/>
      <c r="D74" s="435"/>
      <c r="E74" s="435"/>
      <c r="F74" s="435"/>
      <c r="G74" s="435"/>
      <c r="H74" s="703"/>
      <c r="I74" s="435"/>
      <c r="J74" s="704"/>
      <c r="K74" s="704"/>
      <c r="L74" s="703"/>
      <c r="M74" s="703"/>
      <c r="N74" s="704"/>
      <c r="O74" s="704"/>
      <c r="P74" s="704"/>
      <c r="Q74" s="704"/>
      <c r="R74" s="705" t="s">
        <v>1652</v>
      </c>
    </row>
  </sheetData>
  <mergeCells count="6">
    <mergeCell ref="A10:R10"/>
    <mergeCell ref="A4:R4"/>
    <mergeCell ref="A6:R6"/>
    <mergeCell ref="A7:R7"/>
    <mergeCell ref="A8:R8"/>
    <mergeCell ref="A9:R9"/>
  </mergeCells>
  <pageMargins left="0.70866141732283472" right="0.11811023622047245" top="0.15748031496062992" bottom="0.15748031496062992" header="0.31496062992125984" footer="0.31496062992125984"/>
  <pageSetup paperSize="8"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view="pageBreakPreview" zoomScale="90" zoomScaleNormal="50" zoomScaleSheetLayoutView="90" workbookViewId="0">
      <selection activeCell="A6" sqref="A6:P6"/>
    </sheetView>
  </sheetViews>
  <sheetFormatPr defaultRowHeight="15" x14ac:dyDescent="0.25"/>
  <cols>
    <col min="1" max="1" width="10.25" style="5" customWidth="1"/>
    <col min="2" max="2" width="24.25" style="6" customWidth="1"/>
    <col min="3" max="3" width="15.5" style="6" customWidth="1"/>
    <col min="4" max="4" width="16.375" style="6" customWidth="1"/>
    <col min="5" max="5" width="29" style="6" customWidth="1"/>
    <col min="6" max="6" width="25.875" style="6" customWidth="1"/>
    <col min="7" max="7" width="17.875" style="6" customWidth="1"/>
    <col min="8" max="8" width="17.375" style="6" customWidth="1"/>
    <col min="9" max="9" width="14" style="6" customWidth="1"/>
    <col min="10" max="10" width="12.75" style="6" customWidth="1"/>
    <col min="11" max="12" width="17.375" style="6" customWidth="1"/>
    <col min="13" max="13" width="18.5" style="6" customWidth="1"/>
    <col min="14" max="14" width="21.5" style="6" customWidth="1"/>
    <col min="15" max="15" width="7.75" style="6" customWidth="1"/>
    <col min="16" max="16" width="9" style="6" customWidth="1"/>
    <col min="17" max="17" width="17.75" style="6" customWidth="1"/>
    <col min="18" max="18" width="18.375" style="6" customWidth="1"/>
    <col min="19" max="19" width="9.125" style="6" customWidth="1"/>
    <col min="20" max="20" width="9" style="6" customWidth="1"/>
    <col min="21" max="21" width="22" style="6" customWidth="1"/>
    <col min="22" max="22" width="11.875" style="6" customWidth="1"/>
    <col min="23" max="23" width="17.375" style="6" customWidth="1"/>
    <col min="24" max="24" width="14.875" style="6" customWidth="1"/>
    <col min="25" max="25" width="10.625" style="5" customWidth="1"/>
    <col min="26" max="26" width="9.25" style="5" customWidth="1"/>
    <col min="27" max="27" width="11.125" style="5" customWidth="1"/>
    <col min="28" max="28" width="11.875" style="5" customWidth="1"/>
    <col min="29" max="29" width="15.625" style="5" customWidth="1"/>
    <col min="30" max="31" width="15.875" style="5" customWidth="1"/>
    <col min="32" max="32" width="20.75" style="5" customWidth="1"/>
    <col min="33" max="33" width="18.375" style="5" customWidth="1"/>
    <col min="34" max="34" width="29" style="5" customWidth="1"/>
    <col min="35" max="254" width="9" style="5"/>
    <col min="255" max="255" width="3.875" style="5" bestFit="1" customWidth="1"/>
    <col min="256" max="256" width="16" style="5" bestFit="1" customWidth="1"/>
    <col min="257" max="257" width="16.625" style="5" bestFit="1" customWidth="1"/>
    <col min="258" max="258" width="13.5" style="5" bestFit="1" customWidth="1"/>
    <col min="259" max="260" width="10.875" style="5" bestFit="1" customWidth="1"/>
    <col min="261" max="261" width="6.25" style="5" bestFit="1" customWidth="1"/>
    <col min="262" max="262" width="8.875" style="5" bestFit="1" customWidth="1"/>
    <col min="263" max="263" width="13.875" style="5" bestFit="1" customWidth="1"/>
    <col min="264" max="264" width="13.25" style="5" bestFit="1" customWidth="1"/>
    <col min="265" max="265" width="16" style="5" bestFit="1" customWidth="1"/>
    <col min="266" max="266" width="11.625" style="5" bestFit="1" customWidth="1"/>
    <col min="267" max="267" width="16.875" style="5" customWidth="1"/>
    <col min="268" max="268" width="13.25" style="5" customWidth="1"/>
    <col min="269" max="269" width="18.375" style="5" bestFit="1" customWidth="1"/>
    <col min="270" max="270" width="15" style="5" bestFit="1" customWidth="1"/>
    <col min="271" max="271" width="14.75" style="5" bestFit="1" customWidth="1"/>
    <col min="272" max="272" width="14.625" style="5" bestFit="1" customWidth="1"/>
    <col min="273" max="273" width="13.75" style="5" bestFit="1" customWidth="1"/>
    <col min="274" max="274" width="14.25" style="5" bestFit="1" customWidth="1"/>
    <col min="275" max="275" width="15.125" style="5" customWidth="1"/>
    <col min="276" max="276" width="20.5" style="5" bestFit="1" customWidth="1"/>
    <col min="277" max="277" width="27.875" style="5" bestFit="1" customWidth="1"/>
    <col min="278" max="278" width="6.875" style="5" bestFit="1" customWidth="1"/>
    <col min="279" max="279" width="5" style="5" bestFit="1" customWidth="1"/>
    <col min="280" max="280" width="8" style="5" bestFit="1" customWidth="1"/>
    <col min="281" max="281" width="11.875" style="5" bestFit="1" customWidth="1"/>
    <col min="282" max="510" width="9" style="5"/>
    <col min="511" max="511" width="3.875" style="5" bestFit="1" customWidth="1"/>
    <col min="512" max="512" width="16" style="5" bestFit="1" customWidth="1"/>
    <col min="513" max="513" width="16.625" style="5" bestFit="1" customWidth="1"/>
    <col min="514" max="514" width="13.5" style="5" bestFit="1" customWidth="1"/>
    <col min="515" max="516" width="10.875" style="5" bestFit="1" customWidth="1"/>
    <col min="517" max="517" width="6.25" style="5" bestFit="1" customWidth="1"/>
    <col min="518" max="518" width="8.875" style="5" bestFit="1" customWidth="1"/>
    <col min="519" max="519" width="13.875" style="5" bestFit="1" customWidth="1"/>
    <col min="520" max="520" width="13.25" style="5" bestFit="1" customWidth="1"/>
    <col min="521" max="521" width="16" style="5" bestFit="1" customWidth="1"/>
    <col min="522" max="522" width="11.625" style="5" bestFit="1" customWidth="1"/>
    <col min="523" max="523" width="16.875" style="5" customWidth="1"/>
    <col min="524" max="524" width="13.25" style="5" customWidth="1"/>
    <col min="525" max="525" width="18.375" style="5" bestFit="1" customWidth="1"/>
    <col min="526" max="526" width="15" style="5" bestFit="1" customWidth="1"/>
    <col min="527" max="527" width="14.75" style="5" bestFit="1" customWidth="1"/>
    <col min="528" max="528" width="14.625" style="5" bestFit="1" customWidth="1"/>
    <col min="529" max="529" width="13.75" style="5" bestFit="1" customWidth="1"/>
    <col min="530" max="530" width="14.25" style="5" bestFit="1" customWidth="1"/>
    <col min="531" max="531" width="15.125" style="5" customWidth="1"/>
    <col min="532" max="532" width="20.5" style="5" bestFit="1" customWidth="1"/>
    <col min="533" max="533" width="27.875" style="5" bestFit="1" customWidth="1"/>
    <col min="534" max="534" width="6.875" style="5" bestFit="1" customWidth="1"/>
    <col min="535" max="535" width="5" style="5" bestFit="1" customWidth="1"/>
    <col min="536" max="536" width="8" style="5" bestFit="1" customWidth="1"/>
    <col min="537" max="537" width="11.875" style="5" bestFit="1" customWidth="1"/>
    <col min="538" max="766" width="9" style="5"/>
    <col min="767" max="767" width="3.875" style="5" bestFit="1" customWidth="1"/>
    <col min="768" max="768" width="16" style="5" bestFit="1" customWidth="1"/>
    <col min="769" max="769" width="16.625" style="5" bestFit="1" customWidth="1"/>
    <col min="770" max="770" width="13.5" style="5" bestFit="1" customWidth="1"/>
    <col min="771" max="772" width="10.875" style="5" bestFit="1" customWidth="1"/>
    <col min="773" max="773" width="6.25" style="5" bestFit="1" customWidth="1"/>
    <col min="774" max="774" width="8.875" style="5" bestFit="1" customWidth="1"/>
    <col min="775" max="775" width="13.875" style="5" bestFit="1" customWidth="1"/>
    <col min="776" max="776" width="13.25" style="5" bestFit="1" customWidth="1"/>
    <col min="777" max="777" width="16" style="5" bestFit="1" customWidth="1"/>
    <col min="778" max="778" width="11.625" style="5" bestFit="1" customWidth="1"/>
    <col min="779" max="779" width="16.875" style="5" customWidth="1"/>
    <col min="780" max="780" width="13.25" style="5" customWidth="1"/>
    <col min="781" max="781" width="18.375" style="5" bestFit="1" customWidth="1"/>
    <col min="782" max="782" width="15" style="5" bestFit="1" customWidth="1"/>
    <col min="783" max="783" width="14.75" style="5" bestFit="1" customWidth="1"/>
    <col min="784" max="784" width="14.625" style="5" bestFit="1" customWidth="1"/>
    <col min="785" max="785" width="13.75" style="5" bestFit="1" customWidth="1"/>
    <col min="786" max="786" width="14.25" style="5" bestFit="1" customWidth="1"/>
    <col min="787" max="787" width="15.125" style="5" customWidth="1"/>
    <col min="788" max="788" width="20.5" style="5" bestFit="1" customWidth="1"/>
    <col min="789" max="789" width="27.875" style="5" bestFit="1" customWidth="1"/>
    <col min="790" max="790" width="6.875" style="5" bestFit="1" customWidth="1"/>
    <col min="791" max="791" width="5" style="5" bestFit="1" customWidth="1"/>
    <col min="792" max="792" width="8" style="5" bestFit="1" customWidth="1"/>
    <col min="793" max="793" width="11.875" style="5" bestFit="1" customWidth="1"/>
    <col min="794" max="1022" width="9" style="5"/>
    <col min="1023" max="1023" width="3.875" style="5" bestFit="1" customWidth="1"/>
    <col min="1024" max="1024" width="16" style="5" bestFit="1" customWidth="1"/>
    <col min="1025" max="1025" width="16.625" style="5" bestFit="1" customWidth="1"/>
    <col min="1026" max="1026" width="13.5" style="5" bestFit="1" customWidth="1"/>
    <col min="1027" max="1028" width="10.875" style="5" bestFit="1" customWidth="1"/>
    <col min="1029" max="1029" width="6.25" style="5" bestFit="1" customWidth="1"/>
    <col min="1030" max="1030" width="8.875" style="5" bestFit="1" customWidth="1"/>
    <col min="1031" max="1031" width="13.875" style="5" bestFit="1" customWidth="1"/>
    <col min="1032" max="1032" width="13.25" style="5" bestFit="1" customWidth="1"/>
    <col min="1033" max="1033" width="16" style="5" bestFit="1" customWidth="1"/>
    <col min="1034" max="1034" width="11.625" style="5" bestFit="1" customWidth="1"/>
    <col min="1035" max="1035" width="16.875" style="5" customWidth="1"/>
    <col min="1036" max="1036" width="13.25" style="5" customWidth="1"/>
    <col min="1037" max="1037" width="18.375" style="5" bestFit="1" customWidth="1"/>
    <col min="1038" max="1038" width="15" style="5" bestFit="1" customWidth="1"/>
    <col min="1039" max="1039" width="14.75" style="5" bestFit="1" customWidth="1"/>
    <col min="1040" max="1040" width="14.625" style="5" bestFit="1" customWidth="1"/>
    <col min="1041" max="1041" width="13.75" style="5" bestFit="1" customWidth="1"/>
    <col min="1042" max="1042" width="14.25" style="5" bestFit="1" customWidth="1"/>
    <col min="1043" max="1043" width="15.125" style="5" customWidth="1"/>
    <col min="1044" max="1044" width="20.5" style="5" bestFit="1" customWidth="1"/>
    <col min="1045" max="1045" width="27.875" style="5" bestFit="1" customWidth="1"/>
    <col min="1046" max="1046" width="6.875" style="5" bestFit="1" customWidth="1"/>
    <col min="1047" max="1047" width="5" style="5" bestFit="1" customWidth="1"/>
    <col min="1048" max="1048" width="8" style="5" bestFit="1" customWidth="1"/>
    <col min="1049" max="1049" width="11.875" style="5" bestFit="1" customWidth="1"/>
    <col min="1050" max="1278" width="9" style="5"/>
    <col min="1279" max="1279" width="3.875" style="5" bestFit="1" customWidth="1"/>
    <col min="1280" max="1280" width="16" style="5" bestFit="1" customWidth="1"/>
    <col min="1281" max="1281" width="16.625" style="5" bestFit="1" customWidth="1"/>
    <col min="1282" max="1282" width="13.5" style="5" bestFit="1" customWidth="1"/>
    <col min="1283" max="1284" width="10.875" style="5" bestFit="1" customWidth="1"/>
    <col min="1285" max="1285" width="6.25" style="5" bestFit="1" customWidth="1"/>
    <col min="1286" max="1286" width="8.875" style="5" bestFit="1" customWidth="1"/>
    <col min="1287" max="1287" width="13.875" style="5" bestFit="1" customWidth="1"/>
    <col min="1288" max="1288" width="13.25" style="5" bestFit="1" customWidth="1"/>
    <col min="1289" max="1289" width="16" style="5" bestFit="1" customWidth="1"/>
    <col min="1290" max="1290" width="11.625" style="5" bestFit="1" customWidth="1"/>
    <col min="1291" max="1291" width="16.875" style="5" customWidth="1"/>
    <col min="1292" max="1292" width="13.25" style="5" customWidth="1"/>
    <col min="1293" max="1293" width="18.375" style="5" bestFit="1" customWidth="1"/>
    <col min="1294" max="1294" width="15" style="5" bestFit="1" customWidth="1"/>
    <col min="1295" max="1295" width="14.75" style="5" bestFit="1" customWidth="1"/>
    <col min="1296" max="1296" width="14.625" style="5" bestFit="1" customWidth="1"/>
    <col min="1297" max="1297" width="13.75" style="5" bestFit="1" customWidth="1"/>
    <col min="1298" max="1298" width="14.25" style="5" bestFit="1" customWidth="1"/>
    <col min="1299" max="1299" width="15.125" style="5" customWidth="1"/>
    <col min="1300" max="1300" width="20.5" style="5" bestFit="1" customWidth="1"/>
    <col min="1301" max="1301" width="27.875" style="5" bestFit="1" customWidth="1"/>
    <col min="1302" max="1302" width="6.875" style="5" bestFit="1" customWidth="1"/>
    <col min="1303" max="1303" width="5" style="5" bestFit="1" customWidth="1"/>
    <col min="1304" max="1304" width="8" style="5" bestFit="1" customWidth="1"/>
    <col min="1305" max="1305" width="11.875" style="5" bestFit="1" customWidth="1"/>
    <col min="1306" max="1534" width="9" style="5"/>
    <col min="1535" max="1535" width="3.875" style="5" bestFit="1" customWidth="1"/>
    <col min="1536" max="1536" width="16" style="5" bestFit="1" customWidth="1"/>
    <col min="1537" max="1537" width="16.625" style="5" bestFit="1" customWidth="1"/>
    <col min="1538" max="1538" width="13.5" style="5" bestFit="1" customWidth="1"/>
    <col min="1539" max="1540" width="10.875" style="5" bestFit="1" customWidth="1"/>
    <col min="1541" max="1541" width="6.25" style="5" bestFit="1" customWidth="1"/>
    <col min="1542" max="1542" width="8.875" style="5" bestFit="1" customWidth="1"/>
    <col min="1543" max="1543" width="13.875" style="5" bestFit="1" customWidth="1"/>
    <col min="1544" max="1544" width="13.25" style="5" bestFit="1" customWidth="1"/>
    <col min="1545" max="1545" width="16" style="5" bestFit="1" customWidth="1"/>
    <col min="1546" max="1546" width="11.625" style="5" bestFit="1" customWidth="1"/>
    <col min="1547" max="1547" width="16.875" style="5" customWidth="1"/>
    <col min="1548" max="1548" width="13.25" style="5" customWidth="1"/>
    <col min="1549" max="1549" width="18.375" style="5" bestFit="1" customWidth="1"/>
    <col min="1550" max="1550" width="15" style="5" bestFit="1" customWidth="1"/>
    <col min="1551" max="1551" width="14.75" style="5" bestFit="1" customWidth="1"/>
    <col min="1552" max="1552" width="14.625" style="5" bestFit="1" customWidth="1"/>
    <col min="1553" max="1553" width="13.75" style="5" bestFit="1" customWidth="1"/>
    <col min="1554" max="1554" width="14.25" style="5" bestFit="1" customWidth="1"/>
    <col min="1555" max="1555" width="15.125" style="5" customWidth="1"/>
    <col min="1556" max="1556" width="20.5" style="5" bestFit="1" customWidth="1"/>
    <col min="1557" max="1557" width="27.875" style="5" bestFit="1" customWidth="1"/>
    <col min="1558" max="1558" width="6.875" style="5" bestFit="1" customWidth="1"/>
    <col min="1559" max="1559" width="5" style="5" bestFit="1" customWidth="1"/>
    <col min="1560" max="1560" width="8" style="5" bestFit="1" customWidth="1"/>
    <col min="1561" max="1561" width="11.875" style="5" bestFit="1" customWidth="1"/>
    <col min="1562" max="1790" width="9" style="5"/>
    <col min="1791" max="1791" width="3.875" style="5" bestFit="1" customWidth="1"/>
    <col min="1792" max="1792" width="16" style="5" bestFit="1" customWidth="1"/>
    <col min="1793" max="1793" width="16.625" style="5" bestFit="1" customWidth="1"/>
    <col min="1794" max="1794" width="13.5" style="5" bestFit="1" customWidth="1"/>
    <col min="1795" max="1796" width="10.875" style="5" bestFit="1" customWidth="1"/>
    <col min="1797" max="1797" width="6.25" style="5" bestFit="1" customWidth="1"/>
    <col min="1798" max="1798" width="8.875" style="5" bestFit="1" customWidth="1"/>
    <col min="1799" max="1799" width="13.875" style="5" bestFit="1" customWidth="1"/>
    <col min="1800" max="1800" width="13.25" style="5" bestFit="1" customWidth="1"/>
    <col min="1801" max="1801" width="16" style="5" bestFit="1" customWidth="1"/>
    <col min="1802" max="1802" width="11.625" style="5" bestFit="1" customWidth="1"/>
    <col min="1803" max="1803" width="16.875" style="5" customWidth="1"/>
    <col min="1804" max="1804" width="13.25" style="5" customWidth="1"/>
    <col min="1805" max="1805" width="18.375" style="5" bestFit="1" customWidth="1"/>
    <col min="1806" max="1806" width="15" style="5" bestFit="1" customWidth="1"/>
    <col min="1807" max="1807" width="14.75" style="5" bestFit="1" customWidth="1"/>
    <col min="1808" max="1808" width="14.625" style="5" bestFit="1" customWidth="1"/>
    <col min="1809" max="1809" width="13.75" style="5" bestFit="1" customWidth="1"/>
    <col min="1810" max="1810" width="14.25" style="5" bestFit="1" customWidth="1"/>
    <col min="1811" max="1811" width="15.125" style="5" customWidth="1"/>
    <col min="1812" max="1812" width="20.5" style="5" bestFit="1" customWidth="1"/>
    <col min="1813" max="1813" width="27.875" style="5" bestFit="1" customWidth="1"/>
    <col min="1814" max="1814" width="6.875" style="5" bestFit="1" customWidth="1"/>
    <col min="1815" max="1815" width="5" style="5" bestFit="1" customWidth="1"/>
    <col min="1816" max="1816" width="8" style="5" bestFit="1" customWidth="1"/>
    <col min="1817" max="1817" width="11.875" style="5" bestFit="1" customWidth="1"/>
    <col min="1818" max="2046" width="9" style="5"/>
    <col min="2047" max="2047" width="3.875" style="5" bestFit="1" customWidth="1"/>
    <col min="2048" max="2048" width="16" style="5" bestFit="1" customWidth="1"/>
    <col min="2049" max="2049" width="16.625" style="5" bestFit="1" customWidth="1"/>
    <col min="2050" max="2050" width="13.5" style="5" bestFit="1" customWidth="1"/>
    <col min="2051" max="2052" width="10.875" style="5" bestFit="1" customWidth="1"/>
    <col min="2053" max="2053" width="6.25" style="5" bestFit="1" customWidth="1"/>
    <col min="2054" max="2054" width="8.875" style="5" bestFit="1" customWidth="1"/>
    <col min="2055" max="2055" width="13.875" style="5" bestFit="1" customWidth="1"/>
    <col min="2056" max="2056" width="13.25" style="5" bestFit="1" customWidth="1"/>
    <col min="2057" max="2057" width="16" style="5" bestFit="1" customWidth="1"/>
    <col min="2058" max="2058" width="11.625" style="5" bestFit="1" customWidth="1"/>
    <col min="2059" max="2059" width="16.875" style="5" customWidth="1"/>
    <col min="2060" max="2060" width="13.25" style="5" customWidth="1"/>
    <col min="2061" max="2061" width="18.375" style="5" bestFit="1" customWidth="1"/>
    <col min="2062" max="2062" width="15" style="5" bestFit="1" customWidth="1"/>
    <col min="2063" max="2063" width="14.75" style="5" bestFit="1" customWidth="1"/>
    <col min="2064" max="2064" width="14.625" style="5" bestFit="1" customWidth="1"/>
    <col min="2065" max="2065" width="13.75" style="5" bestFit="1" customWidth="1"/>
    <col min="2066" max="2066" width="14.25" style="5" bestFit="1" customWidth="1"/>
    <col min="2067" max="2067" width="15.125" style="5" customWidth="1"/>
    <col min="2068" max="2068" width="20.5" style="5" bestFit="1" customWidth="1"/>
    <col min="2069" max="2069" width="27.875" style="5" bestFit="1" customWidth="1"/>
    <col min="2070" max="2070" width="6.875" style="5" bestFit="1" customWidth="1"/>
    <col min="2071" max="2071" width="5" style="5" bestFit="1" customWidth="1"/>
    <col min="2072" max="2072" width="8" style="5" bestFit="1" customWidth="1"/>
    <col min="2073" max="2073" width="11.875" style="5" bestFit="1" customWidth="1"/>
    <col min="2074" max="2302" width="9" style="5"/>
    <col min="2303" max="2303" width="3.875" style="5" bestFit="1" customWidth="1"/>
    <col min="2304" max="2304" width="16" style="5" bestFit="1" customWidth="1"/>
    <col min="2305" max="2305" width="16.625" style="5" bestFit="1" customWidth="1"/>
    <col min="2306" max="2306" width="13.5" style="5" bestFit="1" customWidth="1"/>
    <col min="2307" max="2308" width="10.875" style="5" bestFit="1" customWidth="1"/>
    <col min="2309" max="2309" width="6.25" style="5" bestFit="1" customWidth="1"/>
    <col min="2310" max="2310" width="8.875" style="5" bestFit="1" customWidth="1"/>
    <col min="2311" max="2311" width="13.875" style="5" bestFit="1" customWidth="1"/>
    <col min="2312" max="2312" width="13.25" style="5" bestFit="1" customWidth="1"/>
    <col min="2313" max="2313" width="16" style="5" bestFit="1" customWidth="1"/>
    <col min="2314" max="2314" width="11.625" style="5" bestFit="1" customWidth="1"/>
    <col min="2315" max="2315" width="16.875" style="5" customWidth="1"/>
    <col min="2316" max="2316" width="13.25" style="5" customWidth="1"/>
    <col min="2317" max="2317" width="18.375" style="5" bestFit="1" customWidth="1"/>
    <col min="2318" max="2318" width="15" style="5" bestFit="1" customWidth="1"/>
    <col min="2319" max="2319" width="14.75" style="5" bestFit="1" customWidth="1"/>
    <col min="2320" max="2320" width="14.625" style="5" bestFit="1" customWidth="1"/>
    <col min="2321" max="2321" width="13.75" style="5" bestFit="1" customWidth="1"/>
    <col min="2322" max="2322" width="14.25" style="5" bestFit="1" customWidth="1"/>
    <col min="2323" max="2323" width="15.125" style="5" customWidth="1"/>
    <col min="2324" max="2324" width="20.5" style="5" bestFit="1" customWidth="1"/>
    <col min="2325" max="2325" width="27.875" style="5" bestFit="1" customWidth="1"/>
    <col min="2326" max="2326" width="6.875" style="5" bestFit="1" customWidth="1"/>
    <col min="2327" max="2327" width="5" style="5" bestFit="1" customWidth="1"/>
    <col min="2328" max="2328" width="8" style="5" bestFit="1" customWidth="1"/>
    <col min="2329" max="2329" width="11.875" style="5" bestFit="1" customWidth="1"/>
    <col min="2330" max="2558" width="9" style="5"/>
    <col min="2559" max="2559" width="3.875" style="5" bestFit="1" customWidth="1"/>
    <col min="2560" max="2560" width="16" style="5" bestFit="1" customWidth="1"/>
    <col min="2561" max="2561" width="16.625" style="5" bestFit="1" customWidth="1"/>
    <col min="2562" max="2562" width="13.5" style="5" bestFit="1" customWidth="1"/>
    <col min="2563" max="2564" width="10.875" style="5" bestFit="1" customWidth="1"/>
    <col min="2565" max="2565" width="6.25" style="5" bestFit="1" customWidth="1"/>
    <col min="2566" max="2566" width="8.875" style="5" bestFit="1" customWidth="1"/>
    <col min="2567" max="2567" width="13.875" style="5" bestFit="1" customWidth="1"/>
    <col min="2568" max="2568" width="13.25" style="5" bestFit="1" customWidth="1"/>
    <col min="2569" max="2569" width="16" style="5" bestFit="1" customWidth="1"/>
    <col min="2570" max="2570" width="11.625" style="5" bestFit="1" customWidth="1"/>
    <col min="2571" max="2571" width="16.875" style="5" customWidth="1"/>
    <col min="2572" max="2572" width="13.25" style="5" customWidth="1"/>
    <col min="2573" max="2573" width="18.375" style="5" bestFit="1" customWidth="1"/>
    <col min="2574" max="2574" width="15" style="5" bestFit="1" customWidth="1"/>
    <col min="2575" max="2575" width="14.75" style="5" bestFit="1" customWidth="1"/>
    <col min="2576" max="2576" width="14.625" style="5" bestFit="1" customWidth="1"/>
    <col min="2577" max="2577" width="13.75" style="5" bestFit="1" customWidth="1"/>
    <col min="2578" max="2578" width="14.25" style="5" bestFit="1" customWidth="1"/>
    <col min="2579" max="2579" width="15.125" style="5" customWidth="1"/>
    <col min="2580" max="2580" width="20.5" style="5" bestFit="1" customWidth="1"/>
    <col min="2581" max="2581" width="27.875" style="5" bestFit="1" customWidth="1"/>
    <col min="2582" max="2582" width="6.875" style="5" bestFit="1" customWidth="1"/>
    <col min="2583" max="2583" width="5" style="5" bestFit="1" customWidth="1"/>
    <col min="2584" max="2584" width="8" style="5" bestFit="1" customWidth="1"/>
    <col min="2585" max="2585" width="11.875" style="5" bestFit="1" customWidth="1"/>
    <col min="2586" max="2814" width="9" style="5"/>
    <col min="2815" max="2815" width="3.875" style="5" bestFit="1" customWidth="1"/>
    <col min="2816" max="2816" width="16" style="5" bestFit="1" customWidth="1"/>
    <col min="2817" max="2817" width="16.625" style="5" bestFit="1" customWidth="1"/>
    <col min="2818" max="2818" width="13.5" style="5" bestFit="1" customWidth="1"/>
    <col min="2819" max="2820" width="10.875" style="5" bestFit="1" customWidth="1"/>
    <col min="2821" max="2821" width="6.25" style="5" bestFit="1" customWidth="1"/>
    <col min="2822" max="2822" width="8.875" style="5" bestFit="1" customWidth="1"/>
    <col min="2823" max="2823" width="13.875" style="5" bestFit="1" customWidth="1"/>
    <col min="2824" max="2824" width="13.25" style="5" bestFit="1" customWidth="1"/>
    <col min="2825" max="2825" width="16" style="5" bestFit="1" customWidth="1"/>
    <col min="2826" max="2826" width="11.625" style="5" bestFit="1" customWidth="1"/>
    <col min="2827" max="2827" width="16.875" style="5" customWidth="1"/>
    <col min="2828" max="2828" width="13.25" style="5" customWidth="1"/>
    <col min="2829" max="2829" width="18.375" style="5" bestFit="1" customWidth="1"/>
    <col min="2830" max="2830" width="15" style="5" bestFit="1" customWidth="1"/>
    <col min="2831" max="2831" width="14.75" style="5" bestFit="1" customWidth="1"/>
    <col min="2832" max="2832" width="14.625" style="5" bestFit="1" customWidth="1"/>
    <col min="2833" max="2833" width="13.75" style="5" bestFit="1" customWidth="1"/>
    <col min="2834" max="2834" width="14.25" style="5" bestFit="1" customWidth="1"/>
    <col min="2835" max="2835" width="15.125" style="5" customWidth="1"/>
    <col min="2836" max="2836" width="20.5" style="5" bestFit="1" customWidth="1"/>
    <col min="2837" max="2837" width="27.875" style="5" bestFit="1" customWidth="1"/>
    <col min="2838" max="2838" width="6.875" style="5" bestFit="1" customWidth="1"/>
    <col min="2839" max="2839" width="5" style="5" bestFit="1" customWidth="1"/>
    <col min="2840" max="2840" width="8" style="5" bestFit="1" customWidth="1"/>
    <col min="2841" max="2841" width="11.875" style="5" bestFit="1" customWidth="1"/>
    <col min="2842" max="3070" width="9" style="5"/>
    <col min="3071" max="3071" width="3.875" style="5" bestFit="1" customWidth="1"/>
    <col min="3072" max="3072" width="16" style="5" bestFit="1" customWidth="1"/>
    <col min="3073" max="3073" width="16.625" style="5" bestFit="1" customWidth="1"/>
    <col min="3074" max="3074" width="13.5" style="5" bestFit="1" customWidth="1"/>
    <col min="3075" max="3076" width="10.875" style="5" bestFit="1" customWidth="1"/>
    <col min="3077" max="3077" width="6.25" style="5" bestFit="1" customWidth="1"/>
    <col min="3078" max="3078" width="8.875" style="5" bestFit="1" customWidth="1"/>
    <col min="3079" max="3079" width="13.875" style="5" bestFit="1" customWidth="1"/>
    <col min="3080" max="3080" width="13.25" style="5" bestFit="1" customWidth="1"/>
    <col min="3081" max="3081" width="16" style="5" bestFit="1" customWidth="1"/>
    <col min="3082" max="3082" width="11.625" style="5" bestFit="1" customWidth="1"/>
    <col min="3083" max="3083" width="16.875" style="5" customWidth="1"/>
    <col min="3084" max="3084" width="13.25" style="5" customWidth="1"/>
    <col min="3085" max="3085" width="18.375" style="5" bestFit="1" customWidth="1"/>
    <col min="3086" max="3086" width="15" style="5" bestFit="1" customWidth="1"/>
    <col min="3087" max="3087" width="14.75" style="5" bestFit="1" customWidth="1"/>
    <col min="3088" max="3088" width="14.625" style="5" bestFit="1" customWidth="1"/>
    <col min="3089" max="3089" width="13.75" style="5" bestFit="1" customWidth="1"/>
    <col min="3090" max="3090" width="14.25" style="5" bestFit="1" customWidth="1"/>
    <col min="3091" max="3091" width="15.125" style="5" customWidth="1"/>
    <col min="3092" max="3092" width="20.5" style="5" bestFit="1" customWidth="1"/>
    <col min="3093" max="3093" width="27.875" style="5" bestFit="1" customWidth="1"/>
    <col min="3094" max="3094" width="6.875" style="5" bestFit="1" customWidth="1"/>
    <col min="3095" max="3095" width="5" style="5" bestFit="1" customWidth="1"/>
    <col min="3096" max="3096" width="8" style="5" bestFit="1" customWidth="1"/>
    <col min="3097" max="3097" width="11.875" style="5" bestFit="1" customWidth="1"/>
    <col min="3098" max="3326" width="9" style="5"/>
    <col min="3327" max="3327" width="3.875" style="5" bestFit="1" customWidth="1"/>
    <col min="3328" max="3328" width="16" style="5" bestFit="1" customWidth="1"/>
    <col min="3329" max="3329" width="16.625" style="5" bestFit="1" customWidth="1"/>
    <col min="3330" max="3330" width="13.5" style="5" bestFit="1" customWidth="1"/>
    <col min="3331" max="3332" width="10.875" style="5" bestFit="1" customWidth="1"/>
    <col min="3333" max="3333" width="6.25" style="5" bestFit="1" customWidth="1"/>
    <col min="3334" max="3334" width="8.875" style="5" bestFit="1" customWidth="1"/>
    <col min="3335" max="3335" width="13.875" style="5" bestFit="1" customWidth="1"/>
    <col min="3336" max="3336" width="13.25" style="5" bestFit="1" customWidth="1"/>
    <col min="3337" max="3337" width="16" style="5" bestFit="1" customWidth="1"/>
    <col min="3338" max="3338" width="11.625" style="5" bestFit="1" customWidth="1"/>
    <col min="3339" max="3339" width="16.875" style="5" customWidth="1"/>
    <col min="3340" max="3340" width="13.25" style="5" customWidth="1"/>
    <col min="3341" max="3341" width="18.375" style="5" bestFit="1" customWidth="1"/>
    <col min="3342" max="3342" width="15" style="5" bestFit="1" customWidth="1"/>
    <col min="3343" max="3343" width="14.75" style="5" bestFit="1" customWidth="1"/>
    <col min="3344" max="3344" width="14.625" style="5" bestFit="1" customWidth="1"/>
    <col min="3345" max="3345" width="13.75" style="5" bestFit="1" customWidth="1"/>
    <col min="3346" max="3346" width="14.25" style="5" bestFit="1" customWidth="1"/>
    <col min="3347" max="3347" width="15.125" style="5" customWidth="1"/>
    <col min="3348" max="3348" width="20.5" style="5" bestFit="1" customWidth="1"/>
    <col min="3349" max="3349" width="27.875" style="5" bestFit="1" customWidth="1"/>
    <col min="3350" max="3350" width="6.875" style="5" bestFit="1" customWidth="1"/>
    <col min="3351" max="3351" width="5" style="5" bestFit="1" customWidth="1"/>
    <col min="3352" max="3352" width="8" style="5" bestFit="1" customWidth="1"/>
    <col min="3353" max="3353" width="11.875" style="5" bestFit="1" customWidth="1"/>
    <col min="3354" max="3582" width="9" style="5"/>
    <col min="3583" max="3583" width="3.875" style="5" bestFit="1" customWidth="1"/>
    <col min="3584" max="3584" width="16" style="5" bestFit="1" customWidth="1"/>
    <col min="3585" max="3585" width="16.625" style="5" bestFit="1" customWidth="1"/>
    <col min="3586" max="3586" width="13.5" style="5" bestFit="1" customWidth="1"/>
    <col min="3587" max="3588" width="10.875" style="5" bestFit="1" customWidth="1"/>
    <col min="3589" max="3589" width="6.25" style="5" bestFit="1" customWidth="1"/>
    <col min="3590" max="3590" width="8.875" style="5" bestFit="1" customWidth="1"/>
    <col min="3591" max="3591" width="13.875" style="5" bestFit="1" customWidth="1"/>
    <col min="3592" max="3592" width="13.25" style="5" bestFit="1" customWidth="1"/>
    <col min="3593" max="3593" width="16" style="5" bestFit="1" customWidth="1"/>
    <col min="3594" max="3594" width="11.625" style="5" bestFit="1" customWidth="1"/>
    <col min="3595" max="3595" width="16.875" style="5" customWidth="1"/>
    <col min="3596" max="3596" width="13.25" style="5" customWidth="1"/>
    <col min="3597" max="3597" width="18.375" style="5" bestFit="1" customWidth="1"/>
    <col min="3598" max="3598" width="15" style="5" bestFit="1" customWidth="1"/>
    <col min="3599" max="3599" width="14.75" style="5" bestFit="1" customWidth="1"/>
    <col min="3600" max="3600" width="14.625" style="5" bestFit="1" customWidth="1"/>
    <col min="3601" max="3601" width="13.75" style="5" bestFit="1" customWidth="1"/>
    <col min="3602" max="3602" width="14.25" style="5" bestFit="1" customWidth="1"/>
    <col min="3603" max="3603" width="15.125" style="5" customWidth="1"/>
    <col min="3604" max="3604" width="20.5" style="5" bestFit="1" customWidth="1"/>
    <col min="3605" max="3605" width="27.875" style="5" bestFit="1" customWidth="1"/>
    <col min="3606" max="3606" width="6.875" style="5" bestFit="1" customWidth="1"/>
    <col min="3607" max="3607" width="5" style="5" bestFit="1" customWidth="1"/>
    <col min="3608" max="3608" width="8" style="5" bestFit="1" customWidth="1"/>
    <col min="3609" max="3609" width="11.875" style="5" bestFit="1" customWidth="1"/>
    <col min="3610" max="3838" width="9" style="5"/>
    <col min="3839" max="3839" width="3.875" style="5" bestFit="1" customWidth="1"/>
    <col min="3840" max="3840" width="16" style="5" bestFit="1" customWidth="1"/>
    <col min="3841" max="3841" width="16.625" style="5" bestFit="1" customWidth="1"/>
    <col min="3842" max="3842" width="13.5" style="5" bestFit="1" customWidth="1"/>
    <col min="3843" max="3844" width="10.875" style="5" bestFit="1" customWidth="1"/>
    <col min="3845" max="3845" width="6.25" style="5" bestFit="1" customWidth="1"/>
    <col min="3846" max="3846" width="8.875" style="5" bestFit="1" customWidth="1"/>
    <col min="3847" max="3847" width="13.875" style="5" bestFit="1" customWidth="1"/>
    <col min="3848" max="3848" width="13.25" style="5" bestFit="1" customWidth="1"/>
    <col min="3849" max="3849" width="16" style="5" bestFit="1" customWidth="1"/>
    <col min="3850" max="3850" width="11.625" style="5" bestFit="1" customWidth="1"/>
    <col min="3851" max="3851" width="16.875" style="5" customWidth="1"/>
    <col min="3852" max="3852" width="13.25" style="5" customWidth="1"/>
    <col min="3853" max="3853" width="18.375" style="5" bestFit="1" customWidth="1"/>
    <col min="3854" max="3854" width="15" style="5" bestFit="1" customWidth="1"/>
    <col min="3855" max="3855" width="14.75" style="5" bestFit="1" customWidth="1"/>
    <col min="3856" max="3856" width="14.625" style="5" bestFit="1" customWidth="1"/>
    <col min="3857" max="3857" width="13.75" style="5" bestFit="1" customWidth="1"/>
    <col min="3858" max="3858" width="14.25" style="5" bestFit="1" customWidth="1"/>
    <col min="3859" max="3859" width="15.125" style="5" customWidth="1"/>
    <col min="3860" max="3860" width="20.5" style="5" bestFit="1" customWidth="1"/>
    <col min="3861" max="3861" width="27.875" style="5" bestFit="1" customWidth="1"/>
    <col min="3862" max="3862" width="6.875" style="5" bestFit="1" customWidth="1"/>
    <col min="3863" max="3863" width="5" style="5" bestFit="1" customWidth="1"/>
    <col min="3864" max="3864" width="8" style="5" bestFit="1" customWidth="1"/>
    <col min="3865" max="3865" width="11.875" style="5" bestFit="1" customWidth="1"/>
    <col min="3866" max="4094" width="9" style="5"/>
    <col min="4095" max="4095" width="3.875" style="5" bestFit="1" customWidth="1"/>
    <col min="4096" max="4096" width="16" style="5" bestFit="1" customWidth="1"/>
    <col min="4097" max="4097" width="16.625" style="5" bestFit="1" customWidth="1"/>
    <col min="4098" max="4098" width="13.5" style="5" bestFit="1" customWidth="1"/>
    <col min="4099" max="4100" width="10.875" style="5" bestFit="1" customWidth="1"/>
    <col min="4101" max="4101" width="6.25" style="5" bestFit="1" customWidth="1"/>
    <col min="4102" max="4102" width="8.875" style="5" bestFit="1" customWidth="1"/>
    <col min="4103" max="4103" width="13.875" style="5" bestFit="1" customWidth="1"/>
    <col min="4104" max="4104" width="13.25" style="5" bestFit="1" customWidth="1"/>
    <col min="4105" max="4105" width="16" style="5" bestFit="1" customWidth="1"/>
    <col min="4106" max="4106" width="11.625" style="5" bestFit="1" customWidth="1"/>
    <col min="4107" max="4107" width="16.875" style="5" customWidth="1"/>
    <col min="4108" max="4108" width="13.25" style="5" customWidth="1"/>
    <col min="4109" max="4109" width="18.375" style="5" bestFit="1" customWidth="1"/>
    <col min="4110" max="4110" width="15" style="5" bestFit="1" customWidth="1"/>
    <col min="4111" max="4111" width="14.75" style="5" bestFit="1" customWidth="1"/>
    <col min="4112" max="4112" width="14.625" style="5" bestFit="1" customWidth="1"/>
    <col min="4113" max="4113" width="13.75" style="5" bestFit="1" customWidth="1"/>
    <col min="4114" max="4114" width="14.25" style="5" bestFit="1" customWidth="1"/>
    <col min="4115" max="4115" width="15.125" style="5" customWidth="1"/>
    <col min="4116" max="4116" width="20.5" style="5" bestFit="1" customWidth="1"/>
    <col min="4117" max="4117" width="27.875" style="5" bestFit="1" customWidth="1"/>
    <col min="4118" max="4118" width="6.875" style="5" bestFit="1" customWidth="1"/>
    <col min="4119" max="4119" width="5" style="5" bestFit="1" customWidth="1"/>
    <col min="4120" max="4120" width="8" style="5" bestFit="1" customWidth="1"/>
    <col min="4121" max="4121" width="11.875" style="5" bestFit="1" customWidth="1"/>
    <col min="4122" max="4350" width="9" style="5"/>
    <col min="4351" max="4351" width="3.875" style="5" bestFit="1" customWidth="1"/>
    <col min="4352" max="4352" width="16" style="5" bestFit="1" customWidth="1"/>
    <col min="4353" max="4353" width="16.625" style="5" bestFit="1" customWidth="1"/>
    <col min="4354" max="4354" width="13.5" style="5" bestFit="1" customWidth="1"/>
    <col min="4355" max="4356" width="10.875" style="5" bestFit="1" customWidth="1"/>
    <col min="4357" max="4357" width="6.25" style="5" bestFit="1" customWidth="1"/>
    <col min="4358" max="4358" width="8.875" style="5" bestFit="1" customWidth="1"/>
    <col min="4359" max="4359" width="13.875" style="5" bestFit="1" customWidth="1"/>
    <col min="4360" max="4360" width="13.25" style="5" bestFit="1" customWidth="1"/>
    <col min="4361" max="4361" width="16" style="5" bestFit="1" customWidth="1"/>
    <col min="4362" max="4362" width="11.625" style="5" bestFit="1" customWidth="1"/>
    <col min="4363" max="4363" width="16.875" style="5" customWidth="1"/>
    <col min="4364" max="4364" width="13.25" style="5" customWidth="1"/>
    <col min="4365" max="4365" width="18.375" style="5" bestFit="1" customWidth="1"/>
    <col min="4366" max="4366" width="15" style="5" bestFit="1" customWidth="1"/>
    <col min="4367" max="4367" width="14.75" style="5" bestFit="1" customWidth="1"/>
    <col min="4368" max="4368" width="14.625" style="5" bestFit="1" customWidth="1"/>
    <col min="4369" max="4369" width="13.75" style="5" bestFit="1" customWidth="1"/>
    <col min="4370" max="4370" width="14.25" style="5" bestFit="1" customWidth="1"/>
    <col min="4371" max="4371" width="15.125" style="5" customWidth="1"/>
    <col min="4372" max="4372" width="20.5" style="5" bestFit="1" customWidth="1"/>
    <col min="4373" max="4373" width="27.875" style="5" bestFit="1" customWidth="1"/>
    <col min="4374" max="4374" width="6.875" style="5" bestFit="1" customWidth="1"/>
    <col min="4375" max="4375" width="5" style="5" bestFit="1" customWidth="1"/>
    <col min="4376" max="4376" width="8" style="5" bestFit="1" customWidth="1"/>
    <col min="4377" max="4377" width="11.875" style="5" bestFit="1" customWidth="1"/>
    <col min="4378" max="4606" width="9" style="5"/>
    <col min="4607" max="4607" width="3.875" style="5" bestFit="1" customWidth="1"/>
    <col min="4608" max="4608" width="16" style="5" bestFit="1" customWidth="1"/>
    <col min="4609" max="4609" width="16.625" style="5" bestFit="1" customWidth="1"/>
    <col min="4610" max="4610" width="13.5" style="5" bestFit="1" customWidth="1"/>
    <col min="4611" max="4612" width="10.875" style="5" bestFit="1" customWidth="1"/>
    <col min="4613" max="4613" width="6.25" style="5" bestFit="1" customWidth="1"/>
    <col min="4614" max="4614" width="8.875" style="5" bestFit="1" customWidth="1"/>
    <col min="4615" max="4615" width="13.875" style="5" bestFit="1" customWidth="1"/>
    <col min="4616" max="4616" width="13.25" style="5" bestFit="1" customWidth="1"/>
    <col min="4617" max="4617" width="16" style="5" bestFit="1" customWidth="1"/>
    <col min="4618" max="4618" width="11.625" style="5" bestFit="1" customWidth="1"/>
    <col min="4619" max="4619" width="16.875" style="5" customWidth="1"/>
    <col min="4620" max="4620" width="13.25" style="5" customWidth="1"/>
    <col min="4621" max="4621" width="18.375" style="5" bestFit="1" customWidth="1"/>
    <col min="4622" max="4622" width="15" style="5" bestFit="1" customWidth="1"/>
    <col min="4623" max="4623" width="14.75" style="5" bestFit="1" customWidth="1"/>
    <col min="4624" max="4624" width="14.625" style="5" bestFit="1" customWidth="1"/>
    <col min="4625" max="4625" width="13.75" style="5" bestFit="1" customWidth="1"/>
    <col min="4626" max="4626" width="14.25" style="5" bestFit="1" customWidth="1"/>
    <col min="4627" max="4627" width="15.125" style="5" customWidth="1"/>
    <col min="4628" max="4628" width="20.5" style="5" bestFit="1" customWidth="1"/>
    <col min="4629" max="4629" width="27.875" style="5" bestFit="1" customWidth="1"/>
    <col min="4630" max="4630" width="6.875" style="5" bestFit="1" customWidth="1"/>
    <col min="4631" max="4631" width="5" style="5" bestFit="1" customWidth="1"/>
    <col min="4632" max="4632" width="8" style="5" bestFit="1" customWidth="1"/>
    <col min="4633" max="4633" width="11.875" style="5" bestFit="1" customWidth="1"/>
    <col min="4634" max="4862" width="9" style="5"/>
    <col min="4863" max="4863" width="3.875" style="5" bestFit="1" customWidth="1"/>
    <col min="4864" max="4864" width="16" style="5" bestFit="1" customWidth="1"/>
    <col min="4865" max="4865" width="16.625" style="5" bestFit="1" customWidth="1"/>
    <col min="4866" max="4866" width="13.5" style="5" bestFit="1" customWidth="1"/>
    <col min="4867" max="4868" width="10.875" style="5" bestFit="1" customWidth="1"/>
    <col min="4869" max="4869" width="6.25" style="5" bestFit="1" customWidth="1"/>
    <col min="4870" max="4870" width="8.875" style="5" bestFit="1" customWidth="1"/>
    <col min="4871" max="4871" width="13.875" style="5" bestFit="1" customWidth="1"/>
    <col min="4872" max="4872" width="13.25" style="5" bestFit="1" customWidth="1"/>
    <col min="4873" max="4873" width="16" style="5" bestFit="1" customWidth="1"/>
    <col min="4874" max="4874" width="11.625" style="5" bestFit="1" customWidth="1"/>
    <col min="4875" max="4875" width="16.875" style="5" customWidth="1"/>
    <col min="4876" max="4876" width="13.25" style="5" customWidth="1"/>
    <col min="4877" max="4877" width="18.375" style="5" bestFit="1" customWidth="1"/>
    <col min="4878" max="4878" width="15" style="5" bestFit="1" customWidth="1"/>
    <col min="4879" max="4879" width="14.75" style="5" bestFit="1" customWidth="1"/>
    <col min="4880" max="4880" width="14.625" style="5" bestFit="1" customWidth="1"/>
    <col min="4881" max="4881" width="13.75" style="5" bestFit="1" customWidth="1"/>
    <col min="4882" max="4882" width="14.25" style="5" bestFit="1" customWidth="1"/>
    <col min="4883" max="4883" width="15.125" style="5" customWidth="1"/>
    <col min="4884" max="4884" width="20.5" style="5" bestFit="1" customWidth="1"/>
    <col min="4885" max="4885" width="27.875" style="5" bestFit="1" customWidth="1"/>
    <col min="4886" max="4886" width="6.875" style="5" bestFit="1" customWidth="1"/>
    <col min="4887" max="4887" width="5" style="5" bestFit="1" customWidth="1"/>
    <col min="4888" max="4888" width="8" style="5" bestFit="1" customWidth="1"/>
    <col min="4889" max="4889" width="11.875" style="5" bestFit="1" customWidth="1"/>
    <col min="4890" max="5118" width="9" style="5"/>
    <col min="5119" max="5119" width="3.875" style="5" bestFit="1" customWidth="1"/>
    <col min="5120" max="5120" width="16" style="5" bestFit="1" customWidth="1"/>
    <col min="5121" max="5121" width="16.625" style="5" bestFit="1" customWidth="1"/>
    <col min="5122" max="5122" width="13.5" style="5" bestFit="1" customWidth="1"/>
    <col min="5123" max="5124" width="10.875" style="5" bestFit="1" customWidth="1"/>
    <col min="5125" max="5125" width="6.25" style="5" bestFit="1" customWidth="1"/>
    <col min="5126" max="5126" width="8.875" style="5" bestFit="1" customWidth="1"/>
    <col min="5127" max="5127" width="13.875" style="5" bestFit="1" customWidth="1"/>
    <col min="5128" max="5128" width="13.25" style="5" bestFit="1" customWidth="1"/>
    <col min="5129" max="5129" width="16" style="5" bestFit="1" customWidth="1"/>
    <col min="5130" max="5130" width="11.625" style="5" bestFit="1" customWidth="1"/>
    <col min="5131" max="5131" width="16.875" style="5" customWidth="1"/>
    <col min="5132" max="5132" width="13.25" style="5" customWidth="1"/>
    <col min="5133" max="5133" width="18.375" style="5" bestFit="1" customWidth="1"/>
    <col min="5134" max="5134" width="15" style="5" bestFit="1" customWidth="1"/>
    <col min="5135" max="5135" width="14.75" style="5" bestFit="1" customWidth="1"/>
    <col min="5136" max="5136" width="14.625" style="5" bestFit="1" customWidth="1"/>
    <col min="5137" max="5137" width="13.75" style="5" bestFit="1" customWidth="1"/>
    <col min="5138" max="5138" width="14.25" style="5" bestFit="1" customWidth="1"/>
    <col min="5139" max="5139" width="15.125" style="5" customWidth="1"/>
    <col min="5140" max="5140" width="20.5" style="5" bestFit="1" customWidth="1"/>
    <col min="5141" max="5141" width="27.875" style="5" bestFit="1" customWidth="1"/>
    <col min="5142" max="5142" width="6.875" style="5" bestFit="1" customWidth="1"/>
    <col min="5143" max="5143" width="5" style="5" bestFit="1" customWidth="1"/>
    <col min="5144" max="5144" width="8" style="5" bestFit="1" customWidth="1"/>
    <col min="5145" max="5145" width="11.875" style="5" bestFit="1" customWidth="1"/>
    <col min="5146" max="5374" width="9" style="5"/>
    <col min="5375" max="5375" width="3.875" style="5" bestFit="1" customWidth="1"/>
    <col min="5376" max="5376" width="16" style="5" bestFit="1" customWidth="1"/>
    <col min="5377" max="5377" width="16.625" style="5" bestFit="1" customWidth="1"/>
    <col min="5378" max="5378" width="13.5" style="5" bestFit="1" customWidth="1"/>
    <col min="5379" max="5380" width="10.875" style="5" bestFit="1" customWidth="1"/>
    <col min="5381" max="5381" width="6.25" style="5" bestFit="1" customWidth="1"/>
    <col min="5382" max="5382" width="8.875" style="5" bestFit="1" customWidth="1"/>
    <col min="5383" max="5383" width="13.875" style="5" bestFit="1" customWidth="1"/>
    <col min="5384" max="5384" width="13.25" style="5" bestFit="1" customWidth="1"/>
    <col min="5385" max="5385" width="16" style="5" bestFit="1" customWidth="1"/>
    <col min="5386" max="5386" width="11.625" style="5" bestFit="1" customWidth="1"/>
    <col min="5387" max="5387" width="16.875" style="5" customWidth="1"/>
    <col min="5388" max="5388" width="13.25" style="5" customWidth="1"/>
    <col min="5389" max="5389" width="18.375" style="5" bestFit="1" customWidth="1"/>
    <col min="5390" max="5390" width="15" style="5" bestFit="1" customWidth="1"/>
    <col min="5391" max="5391" width="14.75" style="5" bestFit="1" customWidth="1"/>
    <col min="5392" max="5392" width="14.625" style="5" bestFit="1" customWidth="1"/>
    <col min="5393" max="5393" width="13.75" style="5" bestFit="1" customWidth="1"/>
    <col min="5394" max="5394" width="14.25" style="5" bestFit="1" customWidth="1"/>
    <col min="5395" max="5395" width="15.125" style="5" customWidth="1"/>
    <col min="5396" max="5396" width="20.5" style="5" bestFit="1" customWidth="1"/>
    <col min="5397" max="5397" width="27.875" style="5" bestFit="1" customWidth="1"/>
    <col min="5398" max="5398" width="6.875" style="5" bestFit="1" customWidth="1"/>
    <col min="5399" max="5399" width="5" style="5" bestFit="1" customWidth="1"/>
    <col min="5400" max="5400" width="8" style="5" bestFit="1" customWidth="1"/>
    <col min="5401" max="5401" width="11.875" style="5" bestFit="1" customWidth="1"/>
    <col min="5402" max="5630" width="9" style="5"/>
    <col min="5631" max="5631" width="3.875" style="5" bestFit="1" customWidth="1"/>
    <col min="5632" max="5632" width="16" style="5" bestFit="1" customWidth="1"/>
    <col min="5633" max="5633" width="16.625" style="5" bestFit="1" customWidth="1"/>
    <col min="5634" max="5634" width="13.5" style="5" bestFit="1" customWidth="1"/>
    <col min="5635" max="5636" width="10.875" style="5" bestFit="1" customWidth="1"/>
    <col min="5637" max="5637" width="6.25" style="5" bestFit="1" customWidth="1"/>
    <col min="5638" max="5638" width="8.875" style="5" bestFit="1" customWidth="1"/>
    <col min="5639" max="5639" width="13.875" style="5" bestFit="1" customWidth="1"/>
    <col min="5640" max="5640" width="13.25" style="5" bestFit="1" customWidth="1"/>
    <col min="5641" max="5641" width="16" style="5" bestFit="1" customWidth="1"/>
    <col min="5642" max="5642" width="11.625" style="5" bestFit="1" customWidth="1"/>
    <col min="5643" max="5643" width="16.875" style="5" customWidth="1"/>
    <col min="5644" max="5644" width="13.25" style="5" customWidth="1"/>
    <col min="5645" max="5645" width="18.375" style="5" bestFit="1" customWidth="1"/>
    <col min="5646" max="5646" width="15" style="5" bestFit="1" customWidth="1"/>
    <col min="5647" max="5647" width="14.75" style="5" bestFit="1" customWidth="1"/>
    <col min="5648" max="5648" width="14.625" style="5" bestFit="1" customWidth="1"/>
    <col min="5649" max="5649" width="13.75" style="5" bestFit="1" customWidth="1"/>
    <col min="5650" max="5650" width="14.25" style="5" bestFit="1" customWidth="1"/>
    <col min="5651" max="5651" width="15.125" style="5" customWidth="1"/>
    <col min="5652" max="5652" width="20.5" style="5" bestFit="1" customWidth="1"/>
    <col min="5653" max="5653" width="27.875" style="5" bestFit="1" customWidth="1"/>
    <col min="5654" max="5654" width="6.875" style="5" bestFit="1" customWidth="1"/>
    <col min="5655" max="5655" width="5" style="5" bestFit="1" customWidth="1"/>
    <col min="5656" max="5656" width="8" style="5" bestFit="1" customWidth="1"/>
    <col min="5657" max="5657" width="11.875" style="5" bestFit="1" customWidth="1"/>
    <col min="5658" max="5886" width="9" style="5"/>
    <col min="5887" max="5887" width="3.875" style="5" bestFit="1" customWidth="1"/>
    <col min="5888" max="5888" width="16" style="5" bestFit="1" customWidth="1"/>
    <col min="5889" max="5889" width="16.625" style="5" bestFit="1" customWidth="1"/>
    <col min="5890" max="5890" width="13.5" style="5" bestFit="1" customWidth="1"/>
    <col min="5891" max="5892" width="10.875" style="5" bestFit="1" customWidth="1"/>
    <col min="5893" max="5893" width="6.25" style="5" bestFit="1" customWidth="1"/>
    <col min="5894" max="5894" width="8.875" style="5" bestFit="1" customWidth="1"/>
    <col min="5895" max="5895" width="13.875" style="5" bestFit="1" customWidth="1"/>
    <col min="5896" max="5896" width="13.25" style="5" bestFit="1" customWidth="1"/>
    <col min="5897" max="5897" width="16" style="5" bestFit="1" customWidth="1"/>
    <col min="5898" max="5898" width="11.625" style="5" bestFit="1" customWidth="1"/>
    <col min="5899" max="5899" width="16.875" style="5" customWidth="1"/>
    <col min="5900" max="5900" width="13.25" style="5" customWidth="1"/>
    <col min="5901" max="5901" width="18.375" style="5" bestFit="1" customWidth="1"/>
    <col min="5902" max="5902" width="15" style="5" bestFit="1" customWidth="1"/>
    <col min="5903" max="5903" width="14.75" style="5" bestFit="1" customWidth="1"/>
    <col min="5904" max="5904" width="14.625" style="5" bestFit="1" customWidth="1"/>
    <col min="5905" max="5905" width="13.75" style="5" bestFit="1" customWidth="1"/>
    <col min="5906" max="5906" width="14.25" style="5" bestFit="1" customWidth="1"/>
    <col min="5907" max="5907" width="15.125" style="5" customWidth="1"/>
    <col min="5908" max="5908" width="20.5" style="5" bestFit="1" customWidth="1"/>
    <col min="5909" max="5909" width="27.875" style="5" bestFit="1" customWidth="1"/>
    <col min="5910" max="5910" width="6.875" style="5" bestFit="1" customWidth="1"/>
    <col min="5911" max="5911" width="5" style="5" bestFit="1" customWidth="1"/>
    <col min="5912" max="5912" width="8" style="5" bestFit="1" customWidth="1"/>
    <col min="5913" max="5913" width="11.875" style="5" bestFit="1" customWidth="1"/>
    <col min="5914" max="6142" width="9" style="5"/>
    <col min="6143" max="6143" width="3.875" style="5" bestFit="1" customWidth="1"/>
    <col min="6144" max="6144" width="16" style="5" bestFit="1" customWidth="1"/>
    <col min="6145" max="6145" width="16.625" style="5" bestFit="1" customWidth="1"/>
    <col min="6146" max="6146" width="13.5" style="5" bestFit="1" customWidth="1"/>
    <col min="6147" max="6148" width="10.875" style="5" bestFit="1" customWidth="1"/>
    <col min="6149" max="6149" width="6.25" style="5" bestFit="1" customWidth="1"/>
    <col min="6150" max="6150" width="8.875" style="5" bestFit="1" customWidth="1"/>
    <col min="6151" max="6151" width="13.875" style="5" bestFit="1" customWidth="1"/>
    <col min="6152" max="6152" width="13.25" style="5" bestFit="1" customWidth="1"/>
    <col min="6153" max="6153" width="16" style="5" bestFit="1" customWidth="1"/>
    <col min="6154" max="6154" width="11.625" style="5" bestFit="1" customWidth="1"/>
    <col min="6155" max="6155" width="16.875" style="5" customWidth="1"/>
    <col min="6156" max="6156" width="13.25" style="5" customWidth="1"/>
    <col min="6157" max="6157" width="18.375" style="5" bestFit="1" customWidth="1"/>
    <col min="6158" max="6158" width="15" style="5" bestFit="1" customWidth="1"/>
    <col min="6159" max="6159" width="14.75" style="5" bestFit="1" customWidth="1"/>
    <col min="6160" max="6160" width="14.625" style="5" bestFit="1" customWidth="1"/>
    <col min="6161" max="6161" width="13.75" style="5" bestFit="1" customWidth="1"/>
    <col min="6162" max="6162" width="14.25" style="5" bestFit="1" customWidth="1"/>
    <col min="6163" max="6163" width="15.125" style="5" customWidth="1"/>
    <col min="6164" max="6164" width="20.5" style="5" bestFit="1" customWidth="1"/>
    <col min="6165" max="6165" width="27.875" style="5" bestFit="1" customWidth="1"/>
    <col min="6166" max="6166" width="6.875" style="5" bestFit="1" customWidth="1"/>
    <col min="6167" max="6167" width="5" style="5" bestFit="1" customWidth="1"/>
    <col min="6168" max="6168" width="8" style="5" bestFit="1" customWidth="1"/>
    <col min="6169" max="6169" width="11.875" style="5" bestFit="1" customWidth="1"/>
    <col min="6170" max="6398" width="9" style="5"/>
    <col min="6399" max="6399" width="3.875" style="5" bestFit="1" customWidth="1"/>
    <col min="6400" max="6400" width="16" style="5" bestFit="1" customWidth="1"/>
    <col min="6401" max="6401" width="16.625" style="5" bestFit="1" customWidth="1"/>
    <col min="6402" max="6402" width="13.5" style="5" bestFit="1" customWidth="1"/>
    <col min="6403" max="6404" width="10.875" style="5" bestFit="1" customWidth="1"/>
    <col min="6405" max="6405" width="6.25" style="5" bestFit="1" customWidth="1"/>
    <col min="6406" max="6406" width="8.875" style="5" bestFit="1" customWidth="1"/>
    <col min="6407" max="6407" width="13.875" style="5" bestFit="1" customWidth="1"/>
    <col min="6408" max="6408" width="13.25" style="5" bestFit="1" customWidth="1"/>
    <col min="6409" max="6409" width="16" style="5" bestFit="1" customWidth="1"/>
    <col min="6410" max="6410" width="11.625" style="5" bestFit="1" customWidth="1"/>
    <col min="6411" max="6411" width="16.875" style="5" customWidth="1"/>
    <col min="6412" max="6412" width="13.25" style="5" customWidth="1"/>
    <col min="6413" max="6413" width="18.375" style="5" bestFit="1" customWidth="1"/>
    <col min="6414" max="6414" width="15" style="5" bestFit="1" customWidth="1"/>
    <col min="6415" max="6415" width="14.75" style="5" bestFit="1" customWidth="1"/>
    <col min="6416" max="6416" width="14.625" style="5" bestFit="1" customWidth="1"/>
    <col min="6417" max="6417" width="13.75" style="5" bestFit="1" customWidth="1"/>
    <col min="6418" max="6418" width="14.25" style="5" bestFit="1" customWidth="1"/>
    <col min="6419" max="6419" width="15.125" style="5" customWidth="1"/>
    <col min="6420" max="6420" width="20.5" style="5" bestFit="1" customWidth="1"/>
    <col min="6421" max="6421" width="27.875" style="5" bestFit="1" customWidth="1"/>
    <col min="6422" max="6422" width="6.875" style="5" bestFit="1" customWidth="1"/>
    <col min="6423" max="6423" width="5" style="5" bestFit="1" customWidth="1"/>
    <col min="6424" max="6424" width="8" style="5" bestFit="1" customWidth="1"/>
    <col min="6425" max="6425" width="11.875" style="5" bestFit="1" customWidth="1"/>
    <col min="6426" max="6654" width="9" style="5"/>
    <col min="6655" max="6655" width="3.875" style="5" bestFit="1" customWidth="1"/>
    <col min="6656" max="6656" width="16" style="5" bestFit="1" customWidth="1"/>
    <col min="6657" max="6657" width="16.625" style="5" bestFit="1" customWidth="1"/>
    <col min="6658" max="6658" width="13.5" style="5" bestFit="1" customWidth="1"/>
    <col min="6659" max="6660" width="10.875" style="5" bestFit="1" customWidth="1"/>
    <col min="6661" max="6661" width="6.25" style="5" bestFit="1" customWidth="1"/>
    <col min="6662" max="6662" width="8.875" style="5" bestFit="1" customWidth="1"/>
    <col min="6663" max="6663" width="13.875" style="5" bestFit="1" customWidth="1"/>
    <col min="6664" max="6664" width="13.25" style="5" bestFit="1" customWidth="1"/>
    <col min="6665" max="6665" width="16" style="5" bestFit="1" customWidth="1"/>
    <col min="6666" max="6666" width="11.625" style="5" bestFit="1" customWidth="1"/>
    <col min="6667" max="6667" width="16.875" style="5" customWidth="1"/>
    <col min="6668" max="6668" width="13.25" style="5" customWidth="1"/>
    <col min="6669" max="6669" width="18.375" style="5" bestFit="1" customWidth="1"/>
    <col min="6670" max="6670" width="15" style="5" bestFit="1" customWidth="1"/>
    <col min="6671" max="6671" width="14.75" style="5" bestFit="1" customWidth="1"/>
    <col min="6672" max="6672" width="14.625" style="5" bestFit="1" customWidth="1"/>
    <col min="6673" max="6673" width="13.75" style="5" bestFit="1" customWidth="1"/>
    <col min="6674" max="6674" width="14.25" style="5" bestFit="1" customWidth="1"/>
    <col min="6675" max="6675" width="15.125" style="5" customWidth="1"/>
    <col min="6676" max="6676" width="20.5" style="5" bestFit="1" customWidth="1"/>
    <col min="6677" max="6677" width="27.875" style="5" bestFit="1" customWidth="1"/>
    <col min="6678" max="6678" width="6.875" style="5" bestFit="1" customWidth="1"/>
    <col min="6679" max="6679" width="5" style="5" bestFit="1" customWidth="1"/>
    <col min="6680" max="6680" width="8" style="5" bestFit="1" customWidth="1"/>
    <col min="6681" max="6681" width="11.875" style="5" bestFit="1" customWidth="1"/>
    <col min="6682" max="6910" width="9" style="5"/>
    <col min="6911" max="6911" width="3.875" style="5" bestFit="1" customWidth="1"/>
    <col min="6912" max="6912" width="16" style="5" bestFit="1" customWidth="1"/>
    <col min="6913" max="6913" width="16.625" style="5" bestFit="1" customWidth="1"/>
    <col min="6914" max="6914" width="13.5" style="5" bestFit="1" customWidth="1"/>
    <col min="6915" max="6916" width="10.875" style="5" bestFit="1" customWidth="1"/>
    <col min="6917" max="6917" width="6.25" style="5" bestFit="1" customWidth="1"/>
    <col min="6918" max="6918" width="8.875" style="5" bestFit="1" customWidth="1"/>
    <col min="6919" max="6919" width="13.875" style="5" bestFit="1" customWidth="1"/>
    <col min="6920" max="6920" width="13.25" style="5" bestFit="1" customWidth="1"/>
    <col min="6921" max="6921" width="16" style="5" bestFit="1" customWidth="1"/>
    <col min="6922" max="6922" width="11.625" style="5" bestFit="1" customWidth="1"/>
    <col min="6923" max="6923" width="16.875" style="5" customWidth="1"/>
    <col min="6924" max="6924" width="13.25" style="5" customWidth="1"/>
    <col min="6925" max="6925" width="18.375" style="5" bestFit="1" customWidth="1"/>
    <col min="6926" max="6926" width="15" style="5" bestFit="1" customWidth="1"/>
    <col min="6927" max="6927" width="14.75" style="5" bestFit="1" customWidth="1"/>
    <col min="6928" max="6928" width="14.625" style="5" bestFit="1" customWidth="1"/>
    <col min="6929" max="6929" width="13.75" style="5" bestFit="1" customWidth="1"/>
    <col min="6930" max="6930" width="14.25" style="5" bestFit="1" customWidth="1"/>
    <col min="6931" max="6931" width="15.125" style="5" customWidth="1"/>
    <col min="6932" max="6932" width="20.5" style="5" bestFit="1" customWidth="1"/>
    <col min="6933" max="6933" width="27.875" style="5" bestFit="1" customWidth="1"/>
    <col min="6934" max="6934" width="6.875" style="5" bestFit="1" customWidth="1"/>
    <col min="6935" max="6935" width="5" style="5" bestFit="1" customWidth="1"/>
    <col min="6936" max="6936" width="8" style="5" bestFit="1" customWidth="1"/>
    <col min="6937" max="6937" width="11.875" style="5" bestFit="1" customWidth="1"/>
    <col min="6938" max="7166" width="9" style="5"/>
    <col min="7167" max="7167" width="3.875" style="5" bestFit="1" customWidth="1"/>
    <col min="7168" max="7168" width="16" style="5" bestFit="1" customWidth="1"/>
    <col min="7169" max="7169" width="16.625" style="5" bestFit="1" customWidth="1"/>
    <col min="7170" max="7170" width="13.5" style="5" bestFit="1" customWidth="1"/>
    <col min="7171" max="7172" width="10.875" style="5" bestFit="1" customWidth="1"/>
    <col min="7173" max="7173" width="6.25" style="5" bestFit="1" customWidth="1"/>
    <col min="7174" max="7174" width="8.875" style="5" bestFit="1" customWidth="1"/>
    <col min="7175" max="7175" width="13.875" style="5" bestFit="1" customWidth="1"/>
    <col min="7176" max="7176" width="13.25" style="5" bestFit="1" customWidth="1"/>
    <col min="7177" max="7177" width="16" style="5" bestFit="1" customWidth="1"/>
    <col min="7178" max="7178" width="11.625" style="5" bestFit="1" customWidth="1"/>
    <col min="7179" max="7179" width="16.875" style="5" customWidth="1"/>
    <col min="7180" max="7180" width="13.25" style="5" customWidth="1"/>
    <col min="7181" max="7181" width="18.375" style="5" bestFit="1" customWidth="1"/>
    <col min="7182" max="7182" width="15" style="5" bestFit="1" customWidth="1"/>
    <col min="7183" max="7183" width="14.75" style="5" bestFit="1" customWidth="1"/>
    <col min="7184" max="7184" width="14.625" style="5" bestFit="1" customWidth="1"/>
    <col min="7185" max="7185" width="13.75" style="5" bestFit="1" customWidth="1"/>
    <col min="7186" max="7186" width="14.25" style="5" bestFit="1" customWidth="1"/>
    <col min="7187" max="7187" width="15.125" style="5" customWidth="1"/>
    <col min="7188" max="7188" width="20.5" style="5" bestFit="1" customWidth="1"/>
    <col min="7189" max="7189" width="27.875" style="5" bestFit="1" customWidth="1"/>
    <col min="7190" max="7190" width="6.875" style="5" bestFit="1" customWidth="1"/>
    <col min="7191" max="7191" width="5" style="5" bestFit="1" customWidth="1"/>
    <col min="7192" max="7192" width="8" style="5" bestFit="1" customWidth="1"/>
    <col min="7193" max="7193" width="11.875" style="5" bestFit="1" customWidth="1"/>
    <col min="7194" max="7422" width="9" style="5"/>
    <col min="7423" max="7423" width="3.875" style="5" bestFit="1" customWidth="1"/>
    <col min="7424" max="7424" width="16" style="5" bestFit="1" customWidth="1"/>
    <col min="7425" max="7425" width="16.625" style="5" bestFit="1" customWidth="1"/>
    <col min="7426" max="7426" width="13.5" style="5" bestFit="1" customWidth="1"/>
    <col min="7427" max="7428" width="10.875" style="5" bestFit="1" customWidth="1"/>
    <col min="7429" max="7429" width="6.25" style="5" bestFit="1" customWidth="1"/>
    <col min="7430" max="7430" width="8.875" style="5" bestFit="1" customWidth="1"/>
    <col min="7431" max="7431" width="13.875" style="5" bestFit="1" customWidth="1"/>
    <col min="7432" max="7432" width="13.25" style="5" bestFit="1" customWidth="1"/>
    <col min="7433" max="7433" width="16" style="5" bestFit="1" customWidth="1"/>
    <col min="7434" max="7434" width="11.625" style="5" bestFit="1" customWidth="1"/>
    <col min="7435" max="7435" width="16.875" style="5" customWidth="1"/>
    <col min="7436" max="7436" width="13.25" style="5" customWidth="1"/>
    <col min="7437" max="7437" width="18.375" style="5" bestFit="1" customWidth="1"/>
    <col min="7438" max="7438" width="15" style="5" bestFit="1" customWidth="1"/>
    <col min="7439" max="7439" width="14.75" style="5" bestFit="1" customWidth="1"/>
    <col min="7440" max="7440" width="14.625" style="5" bestFit="1" customWidth="1"/>
    <col min="7441" max="7441" width="13.75" style="5" bestFit="1" customWidth="1"/>
    <col min="7442" max="7442" width="14.25" style="5" bestFit="1" customWidth="1"/>
    <col min="7443" max="7443" width="15.125" style="5" customWidth="1"/>
    <col min="7444" max="7444" width="20.5" style="5" bestFit="1" customWidth="1"/>
    <col min="7445" max="7445" width="27.875" style="5" bestFit="1" customWidth="1"/>
    <col min="7446" max="7446" width="6.875" style="5" bestFit="1" customWidth="1"/>
    <col min="7447" max="7447" width="5" style="5" bestFit="1" customWidth="1"/>
    <col min="7448" max="7448" width="8" style="5" bestFit="1" customWidth="1"/>
    <col min="7449" max="7449" width="11.875" style="5" bestFit="1" customWidth="1"/>
    <col min="7450" max="7678" width="9" style="5"/>
    <col min="7679" max="7679" width="3.875" style="5" bestFit="1" customWidth="1"/>
    <col min="7680" max="7680" width="16" style="5" bestFit="1" customWidth="1"/>
    <col min="7681" max="7681" width="16.625" style="5" bestFit="1" customWidth="1"/>
    <col min="7682" max="7682" width="13.5" style="5" bestFit="1" customWidth="1"/>
    <col min="7683" max="7684" width="10.875" style="5" bestFit="1" customWidth="1"/>
    <col min="7685" max="7685" width="6.25" style="5" bestFit="1" customWidth="1"/>
    <col min="7686" max="7686" width="8.875" style="5" bestFit="1" customWidth="1"/>
    <col min="7687" max="7687" width="13.875" style="5" bestFit="1" customWidth="1"/>
    <col min="7688" max="7688" width="13.25" style="5" bestFit="1" customWidth="1"/>
    <col min="7689" max="7689" width="16" style="5" bestFit="1" customWidth="1"/>
    <col min="7690" max="7690" width="11.625" style="5" bestFit="1" customWidth="1"/>
    <col min="7691" max="7691" width="16.875" style="5" customWidth="1"/>
    <col min="7692" max="7692" width="13.25" style="5" customWidth="1"/>
    <col min="7693" max="7693" width="18.375" style="5" bestFit="1" customWidth="1"/>
    <col min="7694" max="7694" width="15" style="5" bestFit="1" customWidth="1"/>
    <col min="7695" max="7695" width="14.75" style="5" bestFit="1" customWidth="1"/>
    <col min="7696" max="7696" width="14.625" style="5" bestFit="1" customWidth="1"/>
    <col min="7697" max="7697" width="13.75" style="5" bestFit="1" customWidth="1"/>
    <col min="7698" max="7698" width="14.25" style="5" bestFit="1" customWidth="1"/>
    <col min="7699" max="7699" width="15.125" style="5" customWidth="1"/>
    <col min="7700" max="7700" width="20.5" style="5" bestFit="1" customWidth="1"/>
    <col min="7701" max="7701" width="27.875" style="5" bestFit="1" customWidth="1"/>
    <col min="7702" max="7702" width="6.875" style="5" bestFit="1" customWidth="1"/>
    <col min="7703" max="7703" width="5" style="5" bestFit="1" customWidth="1"/>
    <col min="7704" max="7704" width="8" style="5" bestFit="1" customWidth="1"/>
    <col min="7705" max="7705" width="11.875" style="5" bestFit="1" customWidth="1"/>
    <col min="7706" max="7934" width="9" style="5"/>
    <col min="7935" max="7935" width="3.875" style="5" bestFit="1" customWidth="1"/>
    <col min="7936" max="7936" width="16" style="5" bestFit="1" customWidth="1"/>
    <col min="7937" max="7937" width="16.625" style="5" bestFit="1" customWidth="1"/>
    <col min="7938" max="7938" width="13.5" style="5" bestFit="1" customWidth="1"/>
    <col min="7939" max="7940" width="10.875" style="5" bestFit="1" customWidth="1"/>
    <col min="7941" max="7941" width="6.25" style="5" bestFit="1" customWidth="1"/>
    <col min="7942" max="7942" width="8.875" style="5" bestFit="1" customWidth="1"/>
    <col min="7943" max="7943" width="13.875" style="5" bestFit="1" customWidth="1"/>
    <col min="7944" max="7944" width="13.25" style="5" bestFit="1" customWidth="1"/>
    <col min="7945" max="7945" width="16" style="5" bestFit="1" customWidth="1"/>
    <col min="7946" max="7946" width="11.625" style="5" bestFit="1" customWidth="1"/>
    <col min="7947" max="7947" width="16.875" style="5" customWidth="1"/>
    <col min="7948" max="7948" width="13.25" style="5" customWidth="1"/>
    <col min="7949" max="7949" width="18.375" style="5" bestFit="1" customWidth="1"/>
    <col min="7950" max="7950" width="15" style="5" bestFit="1" customWidth="1"/>
    <col min="7951" max="7951" width="14.75" style="5" bestFit="1" customWidth="1"/>
    <col min="7952" max="7952" width="14.625" style="5" bestFit="1" customWidth="1"/>
    <col min="7953" max="7953" width="13.75" style="5" bestFit="1" customWidth="1"/>
    <col min="7954" max="7954" width="14.25" style="5" bestFit="1" customWidth="1"/>
    <col min="7955" max="7955" width="15.125" style="5" customWidth="1"/>
    <col min="7956" max="7956" width="20.5" style="5" bestFit="1" customWidth="1"/>
    <col min="7957" max="7957" width="27.875" style="5" bestFit="1" customWidth="1"/>
    <col min="7958" max="7958" width="6.875" style="5" bestFit="1" customWidth="1"/>
    <col min="7959" max="7959" width="5" style="5" bestFit="1" customWidth="1"/>
    <col min="7960" max="7960" width="8" style="5" bestFit="1" customWidth="1"/>
    <col min="7961" max="7961" width="11.875" style="5" bestFit="1" customWidth="1"/>
    <col min="7962" max="8190" width="9" style="5"/>
    <col min="8191" max="8191" width="3.875" style="5" bestFit="1" customWidth="1"/>
    <col min="8192" max="8192" width="16" style="5" bestFit="1" customWidth="1"/>
    <col min="8193" max="8193" width="16.625" style="5" bestFit="1" customWidth="1"/>
    <col min="8194" max="8194" width="13.5" style="5" bestFit="1" customWidth="1"/>
    <col min="8195" max="8196" width="10.875" style="5" bestFit="1" customWidth="1"/>
    <col min="8197" max="8197" width="6.25" style="5" bestFit="1" customWidth="1"/>
    <col min="8198" max="8198" width="8.875" style="5" bestFit="1" customWidth="1"/>
    <col min="8199" max="8199" width="13.875" style="5" bestFit="1" customWidth="1"/>
    <col min="8200" max="8200" width="13.25" style="5" bestFit="1" customWidth="1"/>
    <col min="8201" max="8201" width="16" style="5" bestFit="1" customWidth="1"/>
    <col min="8202" max="8202" width="11.625" style="5" bestFit="1" customWidth="1"/>
    <col min="8203" max="8203" width="16.875" style="5" customWidth="1"/>
    <col min="8204" max="8204" width="13.25" style="5" customWidth="1"/>
    <col min="8205" max="8205" width="18.375" style="5" bestFit="1" customWidth="1"/>
    <col min="8206" max="8206" width="15" style="5" bestFit="1" customWidth="1"/>
    <col min="8207" max="8207" width="14.75" style="5" bestFit="1" customWidth="1"/>
    <col min="8208" max="8208" width="14.625" style="5" bestFit="1" customWidth="1"/>
    <col min="8209" max="8209" width="13.75" style="5" bestFit="1" customWidth="1"/>
    <col min="8210" max="8210" width="14.25" style="5" bestFit="1" customWidth="1"/>
    <col min="8211" max="8211" width="15.125" style="5" customWidth="1"/>
    <col min="8212" max="8212" width="20.5" style="5" bestFit="1" customWidth="1"/>
    <col min="8213" max="8213" width="27.875" style="5" bestFit="1" customWidth="1"/>
    <col min="8214" max="8214" width="6.875" style="5" bestFit="1" customWidth="1"/>
    <col min="8215" max="8215" width="5" style="5" bestFit="1" customWidth="1"/>
    <col min="8216" max="8216" width="8" style="5" bestFit="1" customWidth="1"/>
    <col min="8217" max="8217" width="11.875" style="5" bestFit="1" customWidth="1"/>
    <col min="8218" max="8446" width="9" style="5"/>
    <col min="8447" max="8447" width="3.875" style="5" bestFit="1" customWidth="1"/>
    <col min="8448" max="8448" width="16" style="5" bestFit="1" customWidth="1"/>
    <col min="8449" max="8449" width="16.625" style="5" bestFit="1" customWidth="1"/>
    <col min="8450" max="8450" width="13.5" style="5" bestFit="1" customWidth="1"/>
    <col min="8451" max="8452" width="10.875" style="5" bestFit="1" customWidth="1"/>
    <col min="8453" max="8453" width="6.25" style="5" bestFit="1" customWidth="1"/>
    <col min="8454" max="8454" width="8.875" style="5" bestFit="1" customWidth="1"/>
    <col min="8455" max="8455" width="13.875" style="5" bestFit="1" customWidth="1"/>
    <col min="8456" max="8456" width="13.25" style="5" bestFit="1" customWidth="1"/>
    <col min="8457" max="8457" width="16" style="5" bestFit="1" customWidth="1"/>
    <col min="8458" max="8458" width="11.625" style="5" bestFit="1" customWidth="1"/>
    <col min="8459" max="8459" width="16.875" style="5" customWidth="1"/>
    <col min="8460" max="8460" width="13.25" style="5" customWidth="1"/>
    <col min="8461" max="8461" width="18.375" style="5" bestFit="1" customWidth="1"/>
    <col min="8462" max="8462" width="15" style="5" bestFit="1" customWidth="1"/>
    <col min="8463" max="8463" width="14.75" style="5" bestFit="1" customWidth="1"/>
    <col min="8464" max="8464" width="14.625" style="5" bestFit="1" customWidth="1"/>
    <col min="8465" max="8465" width="13.75" style="5" bestFit="1" customWidth="1"/>
    <col min="8466" max="8466" width="14.25" style="5" bestFit="1" customWidth="1"/>
    <col min="8467" max="8467" width="15.125" style="5" customWidth="1"/>
    <col min="8468" max="8468" width="20.5" style="5" bestFit="1" customWidth="1"/>
    <col min="8469" max="8469" width="27.875" style="5" bestFit="1" customWidth="1"/>
    <col min="8470" max="8470" width="6.875" style="5" bestFit="1" customWidth="1"/>
    <col min="8471" max="8471" width="5" style="5" bestFit="1" customWidth="1"/>
    <col min="8472" max="8472" width="8" style="5" bestFit="1" customWidth="1"/>
    <col min="8473" max="8473" width="11.875" style="5" bestFit="1" customWidth="1"/>
    <col min="8474" max="8702" width="9" style="5"/>
    <col min="8703" max="8703" width="3.875" style="5" bestFit="1" customWidth="1"/>
    <col min="8704" max="8704" width="16" style="5" bestFit="1" customWidth="1"/>
    <col min="8705" max="8705" width="16.625" style="5" bestFit="1" customWidth="1"/>
    <col min="8706" max="8706" width="13.5" style="5" bestFit="1" customWidth="1"/>
    <col min="8707" max="8708" width="10.875" style="5" bestFit="1" customWidth="1"/>
    <col min="8709" max="8709" width="6.25" style="5" bestFit="1" customWidth="1"/>
    <col min="8710" max="8710" width="8.875" style="5" bestFit="1" customWidth="1"/>
    <col min="8711" max="8711" width="13.875" style="5" bestFit="1" customWidth="1"/>
    <col min="8712" max="8712" width="13.25" style="5" bestFit="1" customWidth="1"/>
    <col min="8713" max="8713" width="16" style="5" bestFit="1" customWidth="1"/>
    <col min="8714" max="8714" width="11.625" style="5" bestFit="1" customWidth="1"/>
    <col min="8715" max="8715" width="16.875" style="5" customWidth="1"/>
    <col min="8716" max="8716" width="13.25" style="5" customWidth="1"/>
    <col min="8717" max="8717" width="18.375" style="5" bestFit="1" customWidth="1"/>
    <col min="8718" max="8718" width="15" style="5" bestFit="1" customWidth="1"/>
    <col min="8719" max="8719" width="14.75" style="5" bestFit="1" customWidth="1"/>
    <col min="8720" max="8720" width="14.625" style="5" bestFit="1" customWidth="1"/>
    <col min="8721" max="8721" width="13.75" style="5" bestFit="1" customWidth="1"/>
    <col min="8722" max="8722" width="14.25" style="5" bestFit="1" customWidth="1"/>
    <col min="8723" max="8723" width="15.125" style="5" customWidth="1"/>
    <col min="8724" max="8724" width="20.5" style="5" bestFit="1" customWidth="1"/>
    <col min="8725" max="8725" width="27.875" style="5" bestFit="1" customWidth="1"/>
    <col min="8726" max="8726" width="6.875" style="5" bestFit="1" customWidth="1"/>
    <col min="8727" max="8727" width="5" style="5" bestFit="1" customWidth="1"/>
    <col min="8728" max="8728" width="8" style="5" bestFit="1" customWidth="1"/>
    <col min="8729" max="8729" width="11.875" style="5" bestFit="1" customWidth="1"/>
    <col min="8730" max="8958" width="9" style="5"/>
    <col min="8959" max="8959" width="3.875" style="5" bestFit="1" customWidth="1"/>
    <col min="8960" max="8960" width="16" style="5" bestFit="1" customWidth="1"/>
    <col min="8961" max="8961" width="16.625" style="5" bestFit="1" customWidth="1"/>
    <col min="8962" max="8962" width="13.5" style="5" bestFit="1" customWidth="1"/>
    <col min="8963" max="8964" width="10.875" style="5" bestFit="1" customWidth="1"/>
    <col min="8965" max="8965" width="6.25" style="5" bestFit="1" customWidth="1"/>
    <col min="8966" max="8966" width="8.875" style="5" bestFit="1" customWidth="1"/>
    <col min="8967" max="8967" width="13.875" style="5" bestFit="1" customWidth="1"/>
    <col min="8968" max="8968" width="13.25" style="5" bestFit="1" customWidth="1"/>
    <col min="8969" max="8969" width="16" style="5" bestFit="1" customWidth="1"/>
    <col min="8970" max="8970" width="11.625" style="5" bestFit="1" customWidth="1"/>
    <col min="8971" max="8971" width="16.875" style="5" customWidth="1"/>
    <col min="8972" max="8972" width="13.25" style="5" customWidth="1"/>
    <col min="8973" max="8973" width="18.375" style="5" bestFit="1" customWidth="1"/>
    <col min="8974" max="8974" width="15" style="5" bestFit="1" customWidth="1"/>
    <col min="8975" max="8975" width="14.75" style="5" bestFit="1" customWidth="1"/>
    <col min="8976" max="8976" width="14.625" style="5" bestFit="1" customWidth="1"/>
    <col min="8977" max="8977" width="13.75" style="5" bestFit="1" customWidth="1"/>
    <col min="8978" max="8978" width="14.25" style="5" bestFit="1" customWidth="1"/>
    <col min="8979" max="8979" width="15.125" style="5" customWidth="1"/>
    <col min="8980" max="8980" width="20.5" style="5" bestFit="1" customWidth="1"/>
    <col min="8981" max="8981" width="27.875" style="5" bestFit="1" customWidth="1"/>
    <col min="8982" max="8982" width="6.875" style="5" bestFit="1" customWidth="1"/>
    <col min="8983" max="8983" width="5" style="5" bestFit="1" customWidth="1"/>
    <col min="8984" max="8984" width="8" style="5" bestFit="1" customWidth="1"/>
    <col min="8985" max="8985" width="11.875" style="5" bestFit="1" customWidth="1"/>
    <col min="8986" max="9214" width="9" style="5"/>
    <col min="9215" max="9215" width="3.875" style="5" bestFit="1" customWidth="1"/>
    <col min="9216" max="9216" width="16" style="5" bestFit="1" customWidth="1"/>
    <col min="9217" max="9217" width="16.625" style="5" bestFit="1" customWidth="1"/>
    <col min="9218" max="9218" width="13.5" style="5" bestFit="1" customWidth="1"/>
    <col min="9219" max="9220" width="10.875" style="5" bestFit="1" customWidth="1"/>
    <col min="9221" max="9221" width="6.25" style="5" bestFit="1" customWidth="1"/>
    <col min="9222" max="9222" width="8.875" style="5" bestFit="1" customWidth="1"/>
    <col min="9223" max="9223" width="13.875" style="5" bestFit="1" customWidth="1"/>
    <col min="9224" max="9224" width="13.25" style="5" bestFit="1" customWidth="1"/>
    <col min="9225" max="9225" width="16" style="5" bestFit="1" customWidth="1"/>
    <col min="9226" max="9226" width="11.625" style="5" bestFit="1" customWidth="1"/>
    <col min="9227" max="9227" width="16.875" style="5" customWidth="1"/>
    <col min="9228" max="9228" width="13.25" style="5" customWidth="1"/>
    <col min="9229" max="9229" width="18.375" style="5" bestFit="1" customWidth="1"/>
    <col min="9230" max="9230" width="15" style="5" bestFit="1" customWidth="1"/>
    <col min="9231" max="9231" width="14.75" style="5" bestFit="1" customWidth="1"/>
    <col min="9232" max="9232" width="14.625" style="5" bestFit="1" customWidth="1"/>
    <col min="9233" max="9233" width="13.75" style="5" bestFit="1" customWidth="1"/>
    <col min="9234" max="9234" width="14.25" style="5" bestFit="1" customWidth="1"/>
    <col min="9235" max="9235" width="15.125" style="5" customWidth="1"/>
    <col min="9236" max="9236" width="20.5" style="5" bestFit="1" customWidth="1"/>
    <col min="9237" max="9237" width="27.875" style="5" bestFit="1" customWidth="1"/>
    <col min="9238" max="9238" width="6.875" style="5" bestFit="1" customWidth="1"/>
    <col min="9239" max="9239" width="5" style="5" bestFit="1" customWidth="1"/>
    <col min="9240" max="9240" width="8" style="5" bestFit="1" customWidth="1"/>
    <col min="9241" max="9241" width="11.875" style="5" bestFit="1" customWidth="1"/>
    <col min="9242" max="9470" width="9" style="5"/>
    <col min="9471" max="9471" width="3.875" style="5" bestFit="1" customWidth="1"/>
    <col min="9472" max="9472" width="16" style="5" bestFit="1" customWidth="1"/>
    <col min="9473" max="9473" width="16.625" style="5" bestFit="1" customWidth="1"/>
    <col min="9474" max="9474" width="13.5" style="5" bestFit="1" customWidth="1"/>
    <col min="9475" max="9476" width="10.875" style="5" bestFit="1" customWidth="1"/>
    <col min="9477" max="9477" width="6.25" style="5" bestFit="1" customWidth="1"/>
    <col min="9478" max="9478" width="8.875" style="5" bestFit="1" customWidth="1"/>
    <col min="9479" max="9479" width="13.875" style="5" bestFit="1" customWidth="1"/>
    <col min="9480" max="9480" width="13.25" style="5" bestFit="1" customWidth="1"/>
    <col min="9481" max="9481" width="16" style="5" bestFit="1" customWidth="1"/>
    <col min="9482" max="9482" width="11.625" style="5" bestFit="1" customWidth="1"/>
    <col min="9483" max="9483" width="16.875" style="5" customWidth="1"/>
    <col min="9484" max="9484" width="13.25" style="5" customWidth="1"/>
    <col min="9485" max="9485" width="18.375" style="5" bestFit="1" customWidth="1"/>
    <col min="9486" max="9486" width="15" style="5" bestFit="1" customWidth="1"/>
    <col min="9487" max="9487" width="14.75" style="5" bestFit="1" customWidth="1"/>
    <col min="9488" max="9488" width="14.625" style="5" bestFit="1" customWidth="1"/>
    <col min="9489" max="9489" width="13.75" style="5" bestFit="1" customWidth="1"/>
    <col min="9490" max="9490" width="14.25" style="5" bestFit="1" customWidth="1"/>
    <col min="9491" max="9491" width="15.125" style="5" customWidth="1"/>
    <col min="9492" max="9492" width="20.5" style="5" bestFit="1" customWidth="1"/>
    <col min="9493" max="9493" width="27.875" style="5" bestFit="1" customWidth="1"/>
    <col min="9494" max="9494" width="6.875" style="5" bestFit="1" customWidth="1"/>
    <col min="9495" max="9495" width="5" style="5" bestFit="1" customWidth="1"/>
    <col min="9496" max="9496" width="8" style="5" bestFit="1" customWidth="1"/>
    <col min="9497" max="9497" width="11.875" style="5" bestFit="1" customWidth="1"/>
    <col min="9498" max="9726" width="9" style="5"/>
    <col min="9727" max="9727" width="3.875" style="5" bestFit="1" customWidth="1"/>
    <col min="9728" max="9728" width="16" style="5" bestFit="1" customWidth="1"/>
    <col min="9729" max="9729" width="16.625" style="5" bestFit="1" customWidth="1"/>
    <col min="9730" max="9730" width="13.5" style="5" bestFit="1" customWidth="1"/>
    <col min="9731" max="9732" width="10.875" style="5" bestFit="1" customWidth="1"/>
    <col min="9733" max="9733" width="6.25" style="5" bestFit="1" customWidth="1"/>
    <col min="9734" max="9734" width="8.875" style="5" bestFit="1" customWidth="1"/>
    <col min="9735" max="9735" width="13.875" style="5" bestFit="1" customWidth="1"/>
    <col min="9736" max="9736" width="13.25" style="5" bestFit="1" customWidth="1"/>
    <col min="9737" max="9737" width="16" style="5" bestFit="1" customWidth="1"/>
    <col min="9738" max="9738" width="11.625" style="5" bestFit="1" customWidth="1"/>
    <col min="9739" max="9739" width="16.875" style="5" customWidth="1"/>
    <col min="9740" max="9740" width="13.25" style="5" customWidth="1"/>
    <col min="9741" max="9741" width="18.375" style="5" bestFit="1" customWidth="1"/>
    <col min="9742" max="9742" width="15" style="5" bestFit="1" customWidth="1"/>
    <col min="9743" max="9743" width="14.75" style="5" bestFit="1" customWidth="1"/>
    <col min="9744" max="9744" width="14.625" style="5" bestFit="1" customWidth="1"/>
    <col min="9745" max="9745" width="13.75" style="5" bestFit="1" customWidth="1"/>
    <col min="9746" max="9746" width="14.25" style="5" bestFit="1" customWidth="1"/>
    <col min="9747" max="9747" width="15.125" style="5" customWidth="1"/>
    <col min="9748" max="9748" width="20.5" style="5" bestFit="1" customWidth="1"/>
    <col min="9749" max="9749" width="27.875" style="5" bestFit="1" customWidth="1"/>
    <col min="9750" max="9750" width="6.875" style="5" bestFit="1" customWidth="1"/>
    <col min="9751" max="9751" width="5" style="5" bestFit="1" customWidth="1"/>
    <col min="9752" max="9752" width="8" style="5" bestFit="1" customWidth="1"/>
    <col min="9753" max="9753" width="11.875" style="5" bestFit="1" customWidth="1"/>
    <col min="9754" max="9982" width="9" style="5"/>
    <col min="9983" max="9983" width="3.875" style="5" bestFit="1" customWidth="1"/>
    <col min="9984" max="9984" width="16" style="5" bestFit="1" customWidth="1"/>
    <col min="9985" max="9985" width="16.625" style="5" bestFit="1" customWidth="1"/>
    <col min="9986" max="9986" width="13.5" style="5" bestFit="1" customWidth="1"/>
    <col min="9987" max="9988" width="10.875" style="5" bestFit="1" customWidth="1"/>
    <col min="9989" max="9989" width="6.25" style="5" bestFit="1" customWidth="1"/>
    <col min="9990" max="9990" width="8.875" style="5" bestFit="1" customWidth="1"/>
    <col min="9991" max="9991" width="13.875" style="5" bestFit="1" customWidth="1"/>
    <col min="9992" max="9992" width="13.25" style="5" bestFit="1" customWidth="1"/>
    <col min="9993" max="9993" width="16" style="5" bestFit="1" customWidth="1"/>
    <col min="9994" max="9994" width="11.625" style="5" bestFit="1" customWidth="1"/>
    <col min="9995" max="9995" width="16.875" style="5" customWidth="1"/>
    <col min="9996" max="9996" width="13.25" style="5" customWidth="1"/>
    <col min="9997" max="9997" width="18.375" style="5" bestFit="1" customWidth="1"/>
    <col min="9998" max="9998" width="15" style="5" bestFit="1" customWidth="1"/>
    <col min="9999" max="9999" width="14.75" style="5" bestFit="1" customWidth="1"/>
    <col min="10000" max="10000" width="14.625" style="5" bestFit="1" customWidth="1"/>
    <col min="10001" max="10001" width="13.75" style="5" bestFit="1" customWidth="1"/>
    <col min="10002" max="10002" width="14.25" style="5" bestFit="1" customWidth="1"/>
    <col min="10003" max="10003" width="15.125" style="5" customWidth="1"/>
    <col min="10004" max="10004" width="20.5" style="5" bestFit="1" customWidth="1"/>
    <col min="10005" max="10005" width="27.875" style="5" bestFit="1" customWidth="1"/>
    <col min="10006" max="10006" width="6.875" style="5" bestFit="1" customWidth="1"/>
    <col min="10007" max="10007" width="5" style="5" bestFit="1" customWidth="1"/>
    <col min="10008" max="10008" width="8" style="5" bestFit="1" customWidth="1"/>
    <col min="10009" max="10009" width="11.875" style="5" bestFit="1" customWidth="1"/>
    <col min="10010" max="10238" width="9" style="5"/>
    <col min="10239" max="10239" width="3.875" style="5" bestFit="1" customWidth="1"/>
    <col min="10240" max="10240" width="16" style="5" bestFit="1" customWidth="1"/>
    <col min="10241" max="10241" width="16.625" style="5" bestFit="1" customWidth="1"/>
    <col min="10242" max="10242" width="13.5" style="5" bestFit="1" customWidth="1"/>
    <col min="10243" max="10244" width="10.875" style="5" bestFit="1" customWidth="1"/>
    <col min="10245" max="10245" width="6.25" style="5" bestFit="1" customWidth="1"/>
    <col min="10246" max="10246" width="8.875" style="5" bestFit="1" customWidth="1"/>
    <col min="10247" max="10247" width="13.875" style="5" bestFit="1" customWidth="1"/>
    <col min="10248" max="10248" width="13.25" style="5" bestFit="1" customWidth="1"/>
    <col min="10249" max="10249" width="16" style="5" bestFit="1" customWidth="1"/>
    <col min="10250" max="10250" width="11.625" style="5" bestFit="1" customWidth="1"/>
    <col min="10251" max="10251" width="16.875" style="5" customWidth="1"/>
    <col min="10252" max="10252" width="13.25" style="5" customWidth="1"/>
    <col min="10253" max="10253" width="18.375" style="5" bestFit="1" customWidth="1"/>
    <col min="10254" max="10254" width="15" style="5" bestFit="1" customWidth="1"/>
    <col min="10255" max="10255" width="14.75" style="5" bestFit="1" customWidth="1"/>
    <col min="10256" max="10256" width="14.625" style="5" bestFit="1" customWidth="1"/>
    <col min="10257" max="10257" width="13.75" style="5" bestFit="1" customWidth="1"/>
    <col min="10258" max="10258" width="14.25" style="5" bestFit="1" customWidth="1"/>
    <col min="10259" max="10259" width="15.125" style="5" customWidth="1"/>
    <col min="10260" max="10260" width="20.5" style="5" bestFit="1" customWidth="1"/>
    <col min="10261" max="10261" width="27.875" style="5" bestFit="1" customWidth="1"/>
    <col min="10262" max="10262" width="6.875" style="5" bestFit="1" customWidth="1"/>
    <col min="10263" max="10263" width="5" style="5" bestFit="1" customWidth="1"/>
    <col min="10264" max="10264" width="8" style="5" bestFit="1" customWidth="1"/>
    <col min="10265" max="10265" width="11.875" style="5" bestFit="1" customWidth="1"/>
    <col min="10266" max="10494" width="9" style="5"/>
    <col min="10495" max="10495" width="3.875" style="5" bestFit="1" customWidth="1"/>
    <col min="10496" max="10496" width="16" style="5" bestFit="1" customWidth="1"/>
    <col min="10497" max="10497" width="16.625" style="5" bestFit="1" customWidth="1"/>
    <col min="10498" max="10498" width="13.5" style="5" bestFit="1" customWidth="1"/>
    <col min="10499" max="10500" width="10.875" style="5" bestFit="1" customWidth="1"/>
    <col min="10501" max="10501" width="6.25" style="5" bestFit="1" customWidth="1"/>
    <col min="10502" max="10502" width="8.875" style="5" bestFit="1" customWidth="1"/>
    <col min="10503" max="10503" width="13.875" style="5" bestFit="1" customWidth="1"/>
    <col min="10504" max="10504" width="13.25" style="5" bestFit="1" customWidth="1"/>
    <col min="10505" max="10505" width="16" style="5" bestFit="1" customWidth="1"/>
    <col min="10506" max="10506" width="11.625" style="5" bestFit="1" customWidth="1"/>
    <col min="10507" max="10507" width="16.875" style="5" customWidth="1"/>
    <col min="10508" max="10508" width="13.25" style="5" customWidth="1"/>
    <col min="10509" max="10509" width="18.375" style="5" bestFit="1" customWidth="1"/>
    <col min="10510" max="10510" width="15" style="5" bestFit="1" customWidth="1"/>
    <col min="10511" max="10511" width="14.75" style="5" bestFit="1" customWidth="1"/>
    <col min="10512" max="10512" width="14.625" style="5" bestFit="1" customWidth="1"/>
    <col min="10513" max="10513" width="13.75" style="5" bestFit="1" customWidth="1"/>
    <col min="10514" max="10514" width="14.25" style="5" bestFit="1" customWidth="1"/>
    <col min="10515" max="10515" width="15.125" style="5" customWidth="1"/>
    <col min="10516" max="10516" width="20.5" style="5" bestFit="1" customWidth="1"/>
    <col min="10517" max="10517" width="27.875" style="5" bestFit="1" customWidth="1"/>
    <col min="10518" max="10518" width="6.875" style="5" bestFit="1" customWidth="1"/>
    <col min="10519" max="10519" width="5" style="5" bestFit="1" customWidth="1"/>
    <col min="10520" max="10520" width="8" style="5" bestFit="1" customWidth="1"/>
    <col min="10521" max="10521" width="11.875" style="5" bestFit="1" customWidth="1"/>
    <col min="10522" max="10750" width="9" style="5"/>
    <col min="10751" max="10751" width="3.875" style="5" bestFit="1" customWidth="1"/>
    <col min="10752" max="10752" width="16" style="5" bestFit="1" customWidth="1"/>
    <col min="10753" max="10753" width="16.625" style="5" bestFit="1" customWidth="1"/>
    <col min="10754" max="10754" width="13.5" style="5" bestFit="1" customWidth="1"/>
    <col min="10755" max="10756" width="10.875" style="5" bestFit="1" customWidth="1"/>
    <col min="10757" max="10757" width="6.25" style="5" bestFit="1" customWidth="1"/>
    <col min="10758" max="10758" width="8.875" style="5" bestFit="1" customWidth="1"/>
    <col min="10759" max="10759" width="13.875" style="5" bestFit="1" customWidth="1"/>
    <col min="10760" max="10760" width="13.25" style="5" bestFit="1" customWidth="1"/>
    <col min="10761" max="10761" width="16" style="5" bestFit="1" customWidth="1"/>
    <col min="10762" max="10762" width="11.625" style="5" bestFit="1" customWidth="1"/>
    <col min="10763" max="10763" width="16.875" style="5" customWidth="1"/>
    <col min="10764" max="10764" width="13.25" style="5" customWidth="1"/>
    <col min="10765" max="10765" width="18.375" style="5" bestFit="1" customWidth="1"/>
    <col min="10766" max="10766" width="15" style="5" bestFit="1" customWidth="1"/>
    <col min="10767" max="10767" width="14.75" style="5" bestFit="1" customWidth="1"/>
    <col min="10768" max="10768" width="14.625" style="5" bestFit="1" customWidth="1"/>
    <col min="10769" max="10769" width="13.75" style="5" bestFit="1" customWidth="1"/>
    <col min="10770" max="10770" width="14.25" style="5" bestFit="1" customWidth="1"/>
    <col min="10771" max="10771" width="15.125" style="5" customWidth="1"/>
    <col min="10772" max="10772" width="20.5" style="5" bestFit="1" customWidth="1"/>
    <col min="10773" max="10773" width="27.875" style="5" bestFit="1" customWidth="1"/>
    <col min="10774" max="10774" width="6.875" style="5" bestFit="1" customWidth="1"/>
    <col min="10775" max="10775" width="5" style="5" bestFit="1" customWidth="1"/>
    <col min="10776" max="10776" width="8" style="5" bestFit="1" customWidth="1"/>
    <col min="10777" max="10777" width="11.875" style="5" bestFit="1" customWidth="1"/>
    <col min="10778" max="11006" width="9" style="5"/>
    <col min="11007" max="11007" width="3.875" style="5" bestFit="1" customWidth="1"/>
    <col min="11008" max="11008" width="16" style="5" bestFit="1" customWidth="1"/>
    <col min="11009" max="11009" width="16.625" style="5" bestFit="1" customWidth="1"/>
    <col min="11010" max="11010" width="13.5" style="5" bestFit="1" customWidth="1"/>
    <col min="11011" max="11012" width="10.875" style="5" bestFit="1" customWidth="1"/>
    <col min="11013" max="11013" width="6.25" style="5" bestFit="1" customWidth="1"/>
    <col min="11014" max="11014" width="8.875" style="5" bestFit="1" customWidth="1"/>
    <col min="11015" max="11015" width="13.875" style="5" bestFit="1" customWidth="1"/>
    <col min="11016" max="11016" width="13.25" style="5" bestFit="1" customWidth="1"/>
    <col min="11017" max="11017" width="16" style="5" bestFit="1" customWidth="1"/>
    <col min="11018" max="11018" width="11.625" style="5" bestFit="1" customWidth="1"/>
    <col min="11019" max="11019" width="16.875" style="5" customWidth="1"/>
    <col min="11020" max="11020" width="13.25" style="5" customWidth="1"/>
    <col min="11021" max="11021" width="18.375" style="5" bestFit="1" customWidth="1"/>
    <col min="11022" max="11022" width="15" style="5" bestFit="1" customWidth="1"/>
    <col min="11023" max="11023" width="14.75" style="5" bestFit="1" customWidth="1"/>
    <col min="11024" max="11024" width="14.625" style="5" bestFit="1" customWidth="1"/>
    <col min="11025" max="11025" width="13.75" style="5" bestFit="1" customWidth="1"/>
    <col min="11026" max="11026" width="14.25" style="5" bestFit="1" customWidth="1"/>
    <col min="11027" max="11027" width="15.125" style="5" customWidth="1"/>
    <col min="11028" max="11028" width="20.5" style="5" bestFit="1" customWidth="1"/>
    <col min="11029" max="11029" width="27.875" style="5" bestFit="1" customWidth="1"/>
    <col min="11030" max="11030" width="6.875" style="5" bestFit="1" customWidth="1"/>
    <col min="11031" max="11031" width="5" style="5" bestFit="1" customWidth="1"/>
    <col min="11032" max="11032" width="8" style="5" bestFit="1" customWidth="1"/>
    <col min="11033" max="11033" width="11.875" style="5" bestFit="1" customWidth="1"/>
    <col min="11034" max="11262" width="9" style="5"/>
    <col min="11263" max="11263" width="3.875" style="5" bestFit="1" customWidth="1"/>
    <col min="11264" max="11264" width="16" style="5" bestFit="1" customWidth="1"/>
    <col min="11265" max="11265" width="16.625" style="5" bestFit="1" customWidth="1"/>
    <col min="11266" max="11266" width="13.5" style="5" bestFit="1" customWidth="1"/>
    <col min="11267" max="11268" width="10.875" style="5" bestFit="1" customWidth="1"/>
    <col min="11269" max="11269" width="6.25" style="5" bestFit="1" customWidth="1"/>
    <col min="11270" max="11270" width="8.875" style="5" bestFit="1" customWidth="1"/>
    <col min="11271" max="11271" width="13.875" style="5" bestFit="1" customWidth="1"/>
    <col min="11272" max="11272" width="13.25" style="5" bestFit="1" customWidth="1"/>
    <col min="11273" max="11273" width="16" style="5" bestFit="1" customWidth="1"/>
    <col min="11274" max="11274" width="11.625" style="5" bestFit="1" customWidth="1"/>
    <col min="11275" max="11275" width="16.875" style="5" customWidth="1"/>
    <col min="11276" max="11276" width="13.25" style="5" customWidth="1"/>
    <col min="11277" max="11277" width="18.375" style="5" bestFit="1" customWidth="1"/>
    <col min="11278" max="11278" width="15" style="5" bestFit="1" customWidth="1"/>
    <col min="11279" max="11279" width="14.75" style="5" bestFit="1" customWidth="1"/>
    <col min="11280" max="11280" width="14.625" style="5" bestFit="1" customWidth="1"/>
    <col min="11281" max="11281" width="13.75" style="5" bestFit="1" customWidth="1"/>
    <col min="11282" max="11282" width="14.25" style="5" bestFit="1" customWidth="1"/>
    <col min="11283" max="11283" width="15.125" style="5" customWidth="1"/>
    <col min="11284" max="11284" width="20.5" style="5" bestFit="1" customWidth="1"/>
    <col min="11285" max="11285" width="27.875" style="5" bestFit="1" customWidth="1"/>
    <col min="11286" max="11286" width="6.875" style="5" bestFit="1" customWidth="1"/>
    <col min="11287" max="11287" width="5" style="5" bestFit="1" customWidth="1"/>
    <col min="11288" max="11288" width="8" style="5" bestFit="1" customWidth="1"/>
    <col min="11289" max="11289" width="11.875" style="5" bestFit="1" customWidth="1"/>
    <col min="11290" max="11518" width="9" style="5"/>
    <col min="11519" max="11519" width="3.875" style="5" bestFit="1" customWidth="1"/>
    <col min="11520" max="11520" width="16" style="5" bestFit="1" customWidth="1"/>
    <col min="11521" max="11521" width="16.625" style="5" bestFit="1" customWidth="1"/>
    <col min="11522" max="11522" width="13.5" style="5" bestFit="1" customWidth="1"/>
    <col min="11523" max="11524" width="10.875" style="5" bestFit="1" customWidth="1"/>
    <col min="11525" max="11525" width="6.25" style="5" bestFit="1" customWidth="1"/>
    <col min="11526" max="11526" width="8.875" style="5" bestFit="1" customWidth="1"/>
    <col min="11527" max="11527" width="13.875" style="5" bestFit="1" customWidth="1"/>
    <col min="11528" max="11528" width="13.25" style="5" bestFit="1" customWidth="1"/>
    <col min="11529" max="11529" width="16" style="5" bestFit="1" customWidth="1"/>
    <col min="11530" max="11530" width="11.625" style="5" bestFit="1" customWidth="1"/>
    <col min="11531" max="11531" width="16.875" style="5" customWidth="1"/>
    <col min="11532" max="11532" width="13.25" style="5" customWidth="1"/>
    <col min="11533" max="11533" width="18.375" style="5" bestFit="1" customWidth="1"/>
    <col min="11534" max="11534" width="15" style="5" bestFit="1" customWidth="1"/>
    <col min="11535" max="11535" width="14.75" style="5" bestFit="1" customWidth="1"/>
    <col min="11536" max="11536" width="14.625" style="5" bestFit="1" customWidth="1"/>
    <col min="11537" max="11537" width="13.75" style="5" bestFit="1" customWidth="1"/>
    <col min="11538" max="11538" width="14.25" style="5" bestFit="1" customWidth="1"/>
    <col min="11539" max="11539" width="15.125" style="5" customWidth="1"/>
    <col min="11540" max="11540" width="20.5" style="5" bestFit="1" customWidth="1"/>
    <col min="11541" max="11541" width="27.875" style="5" bestFit="1" customWidth="1"/>
    <col min="11542" max="11542" width="6.875" style="5" bestFit="1" customWidth="1"/>
    <col min="11543" max="11543" width="5" style="5" bestFit="1" customWidth="1"/>
    <col min="11544" max="11544" width="8" style="5" bestFit="1" customWidth="1"/>
    <col min="11545" max="11545" width="11.875" style="5" bestFit="1" customWidth="1"/>
    <col min="11546" max="11774" width="9" style="5"/>
    <col min="11775" max="11775" width="3.875" style="5" bestFit="1" customWidth="1"/>
    <col min="11776" max="11776" width="16" style="5" bestFit="1" customWidth="1"/>
    <col min="11777" max="11777" width="16.625" style="5" bestFit="1" customWidth="1"/>
    <col min="11778" max="11778" width="13.5" style="5" bestFit="1" customWidth="1"/>
    <col min="11779" max="11780" width="10.875" style="5" bestFit="1" customWidth="1"/>
    <col min="11781" max="11781" width="6.25" style="5" bestFit="1" customWidth="1"/>
    <col min="11782" max="11782" width="8.875" style="5" bestFit="1" customWidth="1"/>
    <col min="11783" max="11783" width="13.875" style="5" bestFit="1" customWidth="1"/>
    <col min="11784" max="11784" width="13.25" style="5" bestFit="1" customWidth="1"/>
    <col min="11785" max="11785" width="16" style="5" bestFit="1" customWidth="1"/>
    <col min="11786" max="11786" width="11.625" style="5" bestFit="1" customWidth="1"/>
    <col min="11787" max="11787" width="16.875" style="5" customWidth="1"/>
    <col min="11788" max="11788" width="13.25" style="5" customWidth="1"/>
    <col min="11789" max="11789" width="18.375" style="5" bestFit="1" customWidth="1"/>
    <col min="11790" max="11790" width="15" style="5" bestFit="1" customWidth="1"/>
    <col min="11791" max="11791" width="14.75" style="5" bestFit="1" customWidth="1"/>
    <col min="11792" max="11792" width="14.625" style="5" bestFit="1" customWidth="1"/>
    <col min="11793" max="11793" width="13.75" style="5" bestFit="1" customWidth="1"/>
    <col min="11794" max="11794" width="14.25" style="5" bestFit="1" customWidth="1"/>
    <col min="11795" max="11795" width="15.125" style="5" customWidth="1"/>
    <col min="11796" max="11796" width="20.5" style="5" bestFit="1" customWidth="1"/>
    <col min="11797" max="11797" width="27.875" style="5" bestFit="1" customWidth="1"/>
    <col min="11798" max="11798" width="6.875" style="5" bestFit="1" customWidth="1"/>
    <col min="11799" max="11799" width="5" style="5" bestFit="1" customWidth="1"/>
    <col min="11800" max="11800" width="8" style="5" bestFit="1" customWidth="1"/>
    <col min="11801" max="11801" width="11.875" style="5" bestFit="1" customWidth="1"/>
    <col min="11802" max="12030" width="9" style="5"/>
    <col min="12031" max="12031" width="3.875" style="5" bestFit="1" customWidth="1"/>
    <col min="12032" max="12032" width="16" style="5" bestFit="1" customWidth="1"/>
    <col min="12033" max="12033" width="16.625" style="5" bestFit="1" customWidth="1"/>
    <col min="12034" max="12034" width="13.5" style="5" bestFit="1" customWidth="1"/>
    <col min="12035" max="12036" width="10.875" style="5" bestFit="1" customWidth="1"/>
    <col min="12037" max="12037" width="6.25" style="5" bestFit="1" customWidth="1"/>
    <col min="12038" max="12038" width="8.875" style="5" bestFit="1" customWidth="1"/>
    <col min="12039" max="12039" width="13.875" style="5" bestFit="1" customWidth="1"/>
    <col min="12040" max="12040" width="13.25" style="5" bestFit="1" customWidth="1"/>
    <col min="12041" max="12041" width="16" style="5" bestFit="1" customWidth="1"/>
    <col min="12042" max="12042" width="11.625" style="5" bestFit="1" customWidth="1"/>
    <col min="12043" max="12043" width="16.875" style="5" customWidth="1"/>
    <col min="12044" max="12044" width="13.25" style="5" customWidth="1"/>
    <col min="12045" max="12045" width="18.375" style="5" bestFit="1" customWidth="1"/>
    <col min="12046" max="12046" width="15" style="5" bestFit="1" customWidth="1"/>
    <col min="12047" max="12047" width="14.75" style="5" bestFit="1" customWidth="1"/>
    <col min="12048" max="12048" width="14.625" style="5" bestFit="1" customWidth="1"/>
    <col min="12049" max="12049" width="13.75" style="5" bestFit="1" customWidth="1"/>
    <col min="12050" max="12050" width="14.25" style="5" bestFit="1" customWidth="1"/>
    <col min="12051" max="12051" width="15.125" style="5" customWidth="1"/>
    <col min="12052" max="12052" width="20.5" style="5" bestFit="1" customWidth="1"/>
    <col min="12053" max="12053" width="27.875" style="5" bestFit="1" customWidth="1"/>
    <col min="12054" max="12054" width="6.875" style="5" bestFit="1" customWidth="1"/>
    <col min="12055" max="12055" width="5" style="5" bestFit="1" customWidth="1"/>
    <col min="12056" max="12056" width="8" style="5" bestFit="1" customWidth="1"/>
    <col min="12057" max="12057" width="11.875" style="5" bestFit="1" customWidth="1"/>
    <col min="12058" max="12286" width="9" style="5"/>
    <col min="12287" max="12287" width="3.875" style="5" bestFit="1" customWidth="1"/>
    <col min="12288" max="12288" width="16" style="5" bestFit="1" customWidth="1"/>
    <col min="12289" max="12289" width="16.625" style="5" bestFit="1" customWidth="1"/>
    <col min="12290" max="12290" width="13.5" style="5" bestFit="1" customWidth="1"/>
    <col min="12291" max="12292" width="10.875" style="5" bestFit="1" customWidth="1"/>
    <col min="12293" max="12293" width="6.25" style="5" bestFit="1" customWidth="1"/>
    <col min="12294" max="12294" width="8.875" style="5" bestFit="1" customWidth="1"/>
    <col min="12295" max="12295" width="13.875" style="5" bestFit="1" customWidth="1"/>
    <col min="12296" max="12296" width="13.25" style="5" bestFit="1" customWidth="1"/>
    <col min="12297" max="12297" width="16" style="5" bestFit="1" customWidth="1"/>
    <col min="12298" max="12298" width="11.625" style="5" bestFit="1" customWidth="1"/>
    <col min="12299" max="12299" width="16.875" style="5" customWidth="1"/>
    <col min="12300" max="12300" width="13.25" style="5" customWidth="1"/>
    <col min="12301" max="12301" width="18.375" style="5" bestFit="1" customWidth="1"/>
    <col min="12302" max="12302" width="15" style="5" bestFit="1" customWidth="1"/>
    <col min="12303" max="12303" width="14.75" style="5" bestFit="1" customWidth="1"/>
    <col min="12304" max="12304" width="14.625" style="5" bestFit="1" customWidth="1"/>
    <col min="12305" max="12305" width="13.75" style="5" bestFit="1" customWidth="1"/>
    <col min="12306" max="12306" width="14.25" style="5" bestFit="1" customWidth="1"/>
    <col min="12307" max="12307" width="15.125" style="5" customWidth="1"/>
    <col min="12308" max="12308" width="20.5" style="5" bestFit="1" customWidth="1"/>
    <col min="12309" max="12309" width="27.875" style="5" bestFit="1" customWidth="1"/>
    <col min="12310" max="12310" width="6.875" style="5" bestFit="1" customWidth="1"/>
    <col min="12311" max="12311" width="5" style="5" bestFit="1" customWidth="1"/>
    <col min="12312" max="12312" width="8" style="5" bestFit="1" customWidth="1"/>
    <col min="12313" max="12313" width="11.875" style="5" bestFit="1" customWidth="1"/>
    <col min="12314" max="12542" width="9" style="5"/>
    <col min="12543" max="12543" width="3.875" style="5" bestFit="1" customWidth="1"/>
    <col min="12544" max="12544" width="16" style="5" bestFit="1" customWidth="1"/>
    <col min="12545" max="12545" width="16.625" style="5" bestFit="1" customWidth="1"/>
    <col min="12546" max="12546" width="13.5" style="5" bestFit="1" customWidth="1"/>
    <col min="12547" max="12548" width="10.875" style="5" bestFit="1" customWidth="1"/>
    <col min="12549" max="12549" width="6.25" style="5" bestFit="1" customWidth="1"/>
    <col min="12550" max="12550" width="8.875" style="5" bestFit="1" customWidth="1"/>
    <col min="12551" max="12551" width="13.875" style="5" bestFit="1" customWidth="1"/>
    <col min="12552" max="12552" width="13.25" style="5" bestFit="1" customWidth="1"/>
    <col min="12553" max="12553" width="16" style="5" bestFit="1" customWidth="1"/>
    <col min="12554" max="12554" width="11.625" style="5" bestFit="1" customWidth="1"/>
    <col min="12555" max="12555" width="16.875" style="5" customWidth="1"/>
    <col min="12556" max="12556" width="13.25" style="5" customWidth="1"/>
    <col min="12557" max="12557" width="18.375" style="5" bestFit="1" customWidth="1"/>
    <col min="12558" max="12558" width="15" style="5" bestFit="1" customWidth="1"/>
    <col min="12559" max="12559" width="14.75" style="5" bestFit="1" customWidth="1"/>
    <col min="12560" max="12560" width="14.625" style="5" bestFit="1" customWidth="1"/>
    <col min="12561" max="12561" width="13.75" style="5" bestFit="1" customWidth="1"/>
    <col min="12562" max="12562" width="14.25" style="5" bestFit="1" customWidth="1"/>
    <col min="12563" max="12563" width="15.125" style="5" customWidth="1"/>
    <col min="12564" max="12564" width="20.5" style="5" bestFit="1" customWidth="1"/>
    <col min="12565" max="12565" width="27.875" style="5" bestFit="1" customWidth="1"/>
    <col min="12566" max="12566" width="6.875" style="5" bestFit="1" customWidth="1"/>
    <col min="12567" max="12567" width="5" style="5" bestFit="1" customWidth="1"/>
    <col min="12568" max="12568" width="8" style="5" bestFit="1" customWidth="1"/>
    <col min="12569" max="12569" width="11.875" style="5" bestFit="1" customWidth="1"/>
    <col min="12570" max="12798" width="9" style="5"/>
    <col min="12799" max="12799" width="3.875" style="5" bestFit="1" customWidth="1"/>
    <col min="12800" max="12800" width="16" style="5" bestFit="1" customWidth="1"/>
    <col min="12801" max="12801" width="16.625" style="5" bestFit="1" customWidth="1"/>
    <col min="12802" max="12802" width="13.5" style="5" bestFit="1" customWidth="1"/>
    <col min="12803" max="12804" width="10.875" style="5" bestFit="1" customWidth="1"/>
    <col min="12805" max="12805" width="6.25" style="5" bestFit="1" customWidth="1"/>
    <col min="12806" max="12806" width="8.875" style="5" bestFit="1" customWidth="1"/>
    <col min="12807" max="12807" width="13.875" style="5" bestFit="1" customWidth="1"/>
    <col min="12808" max="12808" width="13.25" style="5" bestFit="1" customWidth="1"/>
    <col min="12809" max="12809" width="16" style="5" bestFit="1" customWidth="1"/>
    <col min="12810" max="12810" width="11.625" style="5" bestFit="1" customWidth="1"/>
    <col min="12811" max="12811" width="16.875" style="5" customWidth="1"/>
    <col min="12812" max="12812" width="13.25" style="5" customWidth="1"/>
    <col min="12813" max="12813" width="18.375" style="5" bestFit="1" customWidth="1"/>
    <col min="12814" max="12814" width="15" style="5" bestFit="1" customWidth="1"/>
    <col min="12815" max="12815" width="14.75" style="5" bestFit="1" customWidth="1"/>
    <col min="12816" max="12816" width="14.625" style="5" bestFit="1" customWidth="1"/>
    <col min="12817" max="12817" width="13.75" style="5" bestFit="1" customWidth="1"/>
    <col min="12818" max="12818" width="14.25" style="5" bestFit="1" customWidth="1"/>
    <col min="12819" max="12819" width="15.125" style="5" customWidth="1"/>
    <col min="12820" max="12820" width="20.5" style="5" bestFit="1" customWidth="1"/>
    <col min="12821" max="12821" width="27.875" style="5" bestFit="1" customWidth="1"/>
    <col min="12822" max="12822" width="6.875" style="5" bestFit="1" customWidth="1"/>
    <col min="12823" max="12823" width="5" style="5" bestFit="1" customWidth="1"/>
    <col min="12824" max="12824" width="8" style="5" bestFit="1" customWidth="1"/>
    <col min="12825" max="12825" width="11.875" style="5" bestFit="1" customWidth="1"/>
    <col min="12826" max="13054" width="9" style="5"/>
    <col min="13055" max="13055" width="3.875" style="5" bestFit="1" customWidth="1"/>
    <col min="13056" max="13056" width="16" style="5" bestFit="1" customWidth="1"/>
    <col min="13057" max="13057" width="16.625" style="5" bestFit="1" customWidth="1"/>
    <col min="13058" max="13058" width="13.5" style="5" bestFit="1" customWidth="1"/>
    <col min="13059" max="13060" width="10.875" style="5" bestFit="1" customWidth="1"/>
    <col min="13061" max="13061" width="6.25" style="5" bestFit="1" customWidth="1"/>
    <col min="13062" max="13062" width="8.875" style="5" bestFit="1" customWidth="1"/>
    <col min="13063" max="13063" width="13.875" style="5" bestFit="1" customWidth="1"/>
    <col min="13064" max="13064" width="13.25" style="5" bestFit="1" customWidth="1"/>
    <col min="13065" max="13065" width="16" style="5" bestFit="1" customWidth="1"/>
    <col min="13066" max="13066" width="11.625" style="5" bestFit="1" customWidth="1"/>
    <col min="13067" max="13067" width="16.875" style="5" customWidth="1"/>
    <col min="13068" max="13068" width="13.25" style="5" customWidth="1"/>
    <col min="13069" max="13069" width="18.375" style="5" bestFit="1" customWidth="1"/>
    <col min="13070" max="13070" width="15" style="5" bestFit="1" customWidth="1"/>
    <col min="13071" max="13071" width="14.75" style="5" bestFit="1" customWidth="1"/>
    <col min="13072" max="13072" width="14.625" style="5" bestFit="1" customWidth="1"/>
    <col min="13073" max="13073" width="13.75" style="5" bestFit="1" customWidth="1"/>
    <col min="13074" max="13074" width="14.25" style="5" bestFit="1" customWidth="1"/>
    <col min="13075" max="13075" width="15.125" style="5" customWidth="1"/>
    <col min="13076" max="13076" width="20.5" style="5" bestFit="1" customWidth="1"/>
    <col min="13077" max="13077" width="27.875" style="5" bestFit="1" customWidth="1"/>
    <col min="13078" max="13078" width="6.875" style="5" bestFit="1" customWidth="1"/>
    <col min="13079" max="13079" width="5" style="5" bestFit="1" customWidth="1"/>
    <col min="13080" max="13080" width="8" style="5" bestFit="1" customWidth="1"/>
    <col min="13081" max="13081" width="11.875" style="5" bestFit="1" customWidth="1"/>
    <col min="13082" max="13310" width="9" style="5"/>
    <col min="13311" max="13311" width="3.875" style="5" bestFit="1" customWidth="1"/>
    <col min="13312" max="13312" width="16" style="5" bestFit="1" customWidth="1"/>
    <col min="13313" max="13313" width="16.625" style="5" bestFit="1" customWidth="1"/>
    <col min="13314" max="13314" width="13.5" style="5" bestFit="1" customWidth="1"/>
    <col min="13315" max="13316" width="10.875" style="5" bestFit="1" customWidth="1"/>
    <col min="13317" max="13317" width="6.25" style="5" bestFit="1" customWidth="1"/>
    <col min="13318" max="13318" width="8.875" style="5" bestFit="1" customWidth="1"/>
    <col min="13319" max="13319" width="13.875" style="5" bestFit="1" customWidth="1"/>
    <col min="13320" max="13320" width="13.25" style="5" bestFit="1" customWidth="1"/>
    <col min="13321" max="13321" width="16" style="5" bestFit="1" customWidth="1"/>
    <col min="13322" max="13322" width="11.625" style="5" bestFit="1" customWidth="1"/>
    <col min="13323" max="13323" width="16.875" style="5" customWidth="1"/>
    <col min="13324" max="13324" width="13.25" style="5" customWidth="1"/>
    <col min="13325" max="13325" width="18.375" style="5" bestFit="1" customWidth="1"/>
    <col min="13326" max="13326" width="15" style="5" bestFit="1" customWidth="1"/>
    <col min="13327" max="13327" width="14.75" style="5" bestFit="1" customWidth="1"/>
    <col min="13328" max="13328" width="14.625" style="5" bestFit="1" customWidth="1"/>
    <col min="13329" max="13329" width="13.75" style="5" bestFit="1" customWidth="1"/>
    <col min="13330" max="13330" width="14.25" style="5" bestFit="1" customWidth="1"/>
    <col min="13331" max="13331" width="15.125" style="5" customWidth="1"/>
    <col min="13332" max="13332" width="20.5" style="5" bestFit="1" customWidth="1"/>
    <col min="13333" max="13333" width="27.875" style="5" bestFit="1" customWidth="1"/>
    <col min="13334" max="13334" width="6.875" style="5" bestFit="1" customWidth="1"/>
    <col min="13335" max="13335" width="5" style="5" bestFit="1" customWidth="1"/>
    <col min="13336" max="13336" width="8" style="5" bestFit="1" customWidth="1"/>
    <col min="13337" max="13337" width="11.875" style="5" bestFit="1" customWidth="1"/>
    <col min="13338" max="13566" width="9" style="5"/>
    <col min="13567" max="13567" width="3.875" style="5" bestFit="1" customWidth="1"/>
    <col min="13568" max="13568" width="16" style="5" bestFit="1" customWidth="1"/>
    <col min="13569" max="13569" width="16.625" style="5" bestFit="1" customWidth="1"/>
    <col min="13570" max="13570" width="13.5" style="5" bestFit="1" customWidth="1"/>
    <col min="13571" max="13572" width="10.875" style="5" bestFit="1" customWidth="1"/>
    <col min="13573" max="13573" width="6.25" style="5" bestFit="1" customWidth="1"/>
    <col min="13574" max="13574" width="8.875" style="5" bestFit="1" customWidth="1"/>
    <col min="13575" max="13575" width="13.875" style="5" bestFit="1" customWidth="1"/>
    <col min="13576" max="13576" width="13.25" style="5" bestFit="1" customWidth="1"/>
    <col min="13577" max="13577" width="16" style="5" bestFit="1" customWidth="1"/>
    <col min="13578" max="13578" width="11.625" style="5" bestFit="1" customWidth="1"/>
    <col min="13579" max="13579" width="16.875" style="5" customWidth="1"/>
    <col min="13580" max="13580" width="13.25" style="5" customWidth="1"/>
    <col min="13581" max="13581" width="18.375" style="5" bestFit="1" customWidth="1"/>
    <col min="13582" max="13582" width="15" style="5" bestFit="1" customWidth="1"/>
    <col min="13583" max="13583" width="14.75" style="5" bestFit="1" customWidth="1"/>
    <col min="13584" max="13584" width="14.625" style="5" bestFit="1" customWidth="1"/>
    <col min="13585" max="13585" width="13.75" style="5" bestFit="1" customWidth="1"/>
    <col min="13586" max="13586" width="14.25" style="5" bestFit="1" customWidth="1"/>
    <col min="13587" max="13587" width="15.125" style="5" customWidth="1"/>
    <col min="13588" max="13588" width="20.5" style="5" bestFit="1" customWidth="1"/>
    <col min="13589" max="13589" width="27.875" style="5" bestFit="1" customWidth="1"/>
    <col min="13590" max="13590" width="6.875" style="5" bestFit="1" customWidth="1"/>
    <col min="13591" max="13591" width="5" style="5" bestFit="1" customWidth="1"/>
    <col min="13592" max="13592" width="8" style="5" bestFit="1" customWidth="1"/>
    <col min="13593" max="13593" width="11.875" style="5" bestFit="1" customWidth="1"/>
    <col min="13594" max="13822" width="9" style="5"/>
    <col min="13823" max="13823" width="3.875" style="5" bestFit="1" customWidth="1"/>
    <col min="13824" max="13824" width="16" style="5" bestFit="1" customWidth="1"/>
    <col min="13825" max="13825" width="16.625" style="5" bestFit="1" customWidth="1"/>
    <col min="13826" max="13826" width="13.5" style="5" bestFit="1" customWidth="1"/>
    <col min="13827" max="13828" width="10.875" style="5" bestFit="1" customWidth="1"/>
    <col min="13829" max="13829" width="6.25" style="5" bestFit="1" customWidth="1"/>
    <col min="13830" max="13830" width="8.875" style="5" bestFit="1" customWidth="1"/>
    <col min="13831" max="13831" width="13.875" style="5" bestFit="1" customWidth="1"/>
    <col min="13832" max="13832" width="13.25" style="5" bestFit="1" customWidth="1"/>
    <col min="13833" max="13833" width="16" style="5" bestFit="1" customWidth="1"/>
    <col min="13834" max="13834" width="11.625" style="5" bestFit="1" customWidth="1"/>
    <col min="13835" max="13835" width="16.875" style="5" customWidth="1"/>
    <col min="13836" max="13836" width="13.25" style="5" customWidth="1"/>
    <col min="13837" max="13837" width="18.375" style="5" bestFit="1" customWidth="1"/>
    <col min="13838" max="13838" width="15" style="5" bestFit="1" customWidth="1"/>
    <col min="13839" max="13839" width="14.75" style="5" bestFit="1" customWidth="1"/>
    <col min="13840" max="13840" width="14.625" style="5" bestFit="1" customWidth="1"/>
    <col min="13841" max="13841" width="13.75" style="5" bestFit="1" customWidth="1"/>
    <col min="13842" max="13842" width="14.25" style="5" bestFit="1" customWidth="1"/>
    <col min="13843" max="13843" width="15.125" style="5" customWidth="1"/>
    <col min="13844" max="13844" width="20.5" style="5" bestFit="1" customWidth="1"/>
    <col min="13845" max="13845" width="27.875" style="5" bestFit="1" customWidth="1"/>
    <col min="13846" max="13846" width="6.875" style="5" bestFit="1" customWidth="1"/>
    <col min="13847" max="13847" width="5" style="5" bestFit="1" customWidth="1"/>
    <col min="13848" max="13848" width="8" style="5" bestFit="1" customWidth="1"/>
    <col min="13849" max="13849" width="11.875" style="5" bestFit="1" customWidth="1"/>
    <col min="13850" max="14078" width="9" style="5"/>
    <col min="14079" max="14079" width="3.875" style="5" bestFit="1" customWidth="1"/>
    <col min="14080" max="14080" width="16" style="5" bestFit="1" customWidth="1"/>
    <col min="14081" max="14081" width="16.625" style="5" bestFit="1" customWidth="1"/>
    <col min="14082" max="14082" width="13.5" style="5" bestFit="1" customWidth="1"/>
    <col min="14083" max="14084" width="10.875" style="5" bestFit="1" customWidth="1"/>
    <col min="14085" max="14085" width="6.25" style="5" bestFit="1" customWidth="1"/>
    <col min="14086" max="14086" width="8.875" style="5" bestFit="1" customWidth="1"/>
    <col min="14087" max="14087" width="13.875" style="5" bestFit="1" customWidth="1"/>
    <col min="14088" max="14088" width="13.25" style="5" bestFit="1" customWidth="1"/>
    <col min="14089" max="14089" width="16" style="5" bestFit="1" customWidth="1"/>
    <col min="14090" max="14090" width="11.625" style="5" bestFit="1" customWidth="1"/>
    <col min="14091" max="14091" width="16.875" style="5" customWidth="1"/>
    <col min="14092" max="14092" width="13.25" style="5" customWidth="1"/>
    <col min="14093" max="14093" width="18.375" style="5" bestFit="1" customWidth="1"/>
    <col min="14094" max="14094" width="15" style="5" bestFit="1" customWidth="1"/>
    <col min="14095" max="14095" width="14.75" style="5" bestFit="1" customWidth="1"/>
    <col min="14096" max="14096" width="14.625" style="5" bestFit="1" customWidth="1"/>
    <col min="14097" max="14097" width="13.75" style="5" bestFit="1" customWidth="1"/>
    <col min="14098" max="14098" width="14.25" style="5" bestFit="1" customWidth="1"/>
    <col min="14099" max="14099" width="15.125" style="5" customWidth="1"/>
    <col min="14100" max="14100" width="20.5" style="5" bestFit="1" customWidth="1"/>
    <col min="14101" max="14101" width="27.875" style="5" bestFit="1" customWidth="1"/>
    <col min="14102" max="14102" width="6.875" style="5" bestFit="1" customWidth="1"/>
    <col min="14103" max="14103" width="5" style="5" bestFit="1" customWidth="1"/>
    <col min="14104" max="14104" width="8" style="5" bestFit="1" customWidth="1"/>
    <col min="14105" max="14105" width="11.875" style="5" bestFit="1" customWidth="1"/>
    <col min="14106" max="14334" width="9" style="5"/>
    <col min="14335" max="14335" width="3.875" style="5" bestFit="1" customWidth="1"/>
    <col min="14336" max="14336" width="16" style="5" bestFit="1" customWidth="1"/>
    <col min="14337" max="14337" width="16.625" style="5" bestFit="1" customWidth="1"/>
    <col min="14338" max="14338" width="13.5" style="5" bestFit="1" customWidth="1"/>
    <col min="14339" max="14340" width="10.875" style="5" bestFit="1" customWidth="1"/>
    <col min="14341" max="14341" width="6.25" style="5" bestFit="1" customWidth="1"/>
    <col min="14342" max="14342" width="8.875" style="5" bestFit="1" customWidth="1"/>
    <col min="14343" max="14343" width="13.875" style="5" bestFit="1" customWidth="1"/>
    <col min="14344" max="14344" width="13.25" style="5" bestFit="1" customWidth="1"/>
    <col min="14345" max="14345" width="16" style="5" bestFit="1" customWidth="1"/>
    <col min="14346" max="14346" width="11.625" style="5" bestFit="1" customWidth="1"/>
    <col min="14347" max="14347" width="16.875" style="5" customWidth="1"/>
    <col min="14348" max="14348" width="13.25" style="5" customWidth="1"/>
    <col min="14349" max="14349" width="18.375" style="5" bestFit="1" customWidth="1"/>
    <col min="14350" max="14350" width="15" style="5" bestFit="1" customWidth="1"/>
    <col min="14351" max="14351" width="14.75" style="5" bestFit="1" customWidth="1"/>
    <col min="14352" max="14352" width="14.625" style="5" bestFit="1" customWidth="1"/>
    <col min="14353" max="14353" width="13.75" style="5" bestFit="1" customWidth="1"/>
    <col min="14354" max="14354" width="14.25" style="5" bestFit="1" customWidth="1"/>
    <col min="14355" max="14355" width="15.125" style="5" customWidth="1"/>
    <col min="14356" max="14356" width="20.5" style="5" bestFit="1" customWidth="1"/>
    <col min="14357" max="14357" width="27.875" style="5" bestFit="1" customWidth="1"/>
    <col min="14358" max="14358" width="6.875" style="5" bestFit="1" customWidth="1"/>
    <col min="14359" max="14359" width="5" style="5" bestFit="1" customWidth="1"/>
    <col min="14360" max="14360" width="8" style="5" bestFit="1" customWidth="1"/>
    <col min="14361" max="14361" width="11.875" style="5" bestFit="1" customWidth="1"/>
    <col min="14362" max="14590" width="9" style="5"/>
    <col min="14591" max="14591" width="3.875" style="5" bestFit="1" customWidth="1"/>
    <col min="14592" max="14592" width="16" style="5" bestFit="1" customWidth="1"/>
    <col min="14593" max="14593" width="16.625" style="5" bestFit="1" customWidth="1"/>
    <col min="14594" max="14594" width="13.5" style="5" bestFit="1" customWidth="1"/>
    <col min="14595" max="14596" width="10.875" style="5" bestFit="1" customWidth="1"/>
    <col min="14597" max="14597" width="6.25" style="5" bestFit="1" customWidth="1"/>
    <col min="14598" max="14598" width="8.875" style="5" bestFit="1" customWidth="1"/>
    <col min="14599" max="14599" width="13.875" style="5" bestFit="1" customWidth="1"/>
    <col min="14600" max="14600" width="13.25" style="5" bestFit="1" customWidth="1"/>
    <col min="14601" max="14601" width="16" style="5" bestFit="1" customWidth="1"/>
    <col min="14602" max="14602" width="11.625" style="5" bestFit="1" customWidth="1"/>
    <col min="14603" max="14603" width="16.875" style="5" customWidth="1"/>
    <col min="14604" max="14604" width="13.25" style="5" customWidth="1"/>
    <col min="14605" max="14605" width="18.375" style="5" bestFit="1" customWidth="1"/>
    <col min="14606" max="14606" width="15" style="5" bestFit="1" customWidth="1"/>
    <col min="14607" max="14607" width="14.75" style="5" bestFit="1" customWidth="1"/>
    <col min="14608" max="14608" width="14.625" style="5" bestFit="1" customWidth="1"/>
    <col min="14609" max="14609" width="13.75" style="5" bestFit="1" customWidth="1"/>
    <col min="14610" max="14610" width="14.25" style="5" bestFit="1" customWidth="1"/>
    <col min="14611" max="14611" width="15.125" style="5" customWidth="1"/>
    <col min="14612" max="14612" width="20.5" style="5" bestFit="1" customWidth="1"/>
    <col min="14613" max="14613" width="27.875" style="5" bestFit="1" customWidth="1"/>
    <col min="14614" max="14614" width="6.875" style="5" bestFit="1" customWidth="1"/>
    <col min="14615" max="14615" width="5" style="5" bestFit="1" customWidth="1"/>
    <col min="14616" max="14616" width="8" style="5" bestFit="1" customWidth="1"/>
    <col min="14617" max="14617" width="11.875" style="5" bestFit="1" customWidth="1"/>
    <col min="14618" max="14846" width="9" style="5"/>
    <col min="14847" max="14847" width="3.875" style="5" bestFit="1" customWidth="1"/>
    <col min="14848" max="14848" width="16" style="5" bestFit="1" customWidth="1"/>
    <col min="14849" max="14849" width="16.625" style="5" bestFit="1" customWidth="1"/>
    <col min="14850" max="14850" width="13.5" style="5" bestFit="1" customWidth="1"/>
    <col min="14851" max="14852" width="10.875" style="5" bestFit="1" customWidth="1"/>
    <col min="14853" max="14853" width="6.25" style="5" bestFit="1" customWidth="1"/>
    <col min="14854" max="14854" width="8.875" style="5" bestFit="1" customWidth="1"/>
    <col min="14855" max="14855" width="13.875" style="5" bestFit="1" customWidth="1"/>
    <col min="14856" max="14856" width="13.25" style="5" bestFit="1" customWidth="1"/>
    <col min="14857" max="14857" width="16" style="5" bestFit="1" customWidth="1"/>
    <col min="14858" max="14858" width="11.625" style="5" bestFit="1" customWidth="1"/>
    <col min="14859" max="14859" width="16.875" style="5" customWidth="1"/>
    <col min="14860" max="14860" width="13.25" style="5" customWidth="1"/>
    <col min="14861" max="14861" width="18.375" style="5" bestFit="1" customWidth="1"/>
    <col min="14862" max="14862" width="15" style="5" bestFit="1" customWidth="1"/>
    <col min="14863" max="14863" width="14.75" style="5" bestFit="1" customWidth="1"/>
    <col min="14864" max="14864" width="14.625" style="5" bestFit="1" customWidth="1"/>
    <col min="14865" max="14865" width="13.75" style="5" bestFit="1" customWidth="1"/>
    <col min="14866" max="14866" width="14.25" style="5" bestFit="1" customWidth="1"/>
    <col min="14867" max="14867" width="15.125" style="5" customWidth="1"/>
    <col min="14868" max="14868" width="20.5" style="5" bestFit="1" customWidth="1"/>
    <col min="14869" max="14869" width="27.875" style="5" bestFit="1" customWidth="1"/>
    <col min="14870" max="14870" width="6.875" style="5" bestFit="1" customWidth="1"/>
    <col min="14871" max="14871" width="5" style="5" bestFit="1" customWidth="1"/>
    <col min="14872" max="14872" width="8" style="5" bestFit="1" customWidth="1"/>
    <col min="14873" max="14873" width="11.875" style="5" bestFit="1" customWidth="1"/>
    <col min="14874" max="15102" width="9" style="5"/>
    <col min="15103" max="15103" width="3.875" style="5" bestFit="1" customWidth="1"/>
    <col min="15104" max="15104" width="16" style="5" bestFit="1" customWidth="1"/>
    <col min="15105" max="15105" width="16.625" style="5" bestFit="1" customWidth="1"/>
    <col min="15106" max="15106" width="13.5" style="5" bestFit="1" customWidth="1"/>
    <col min="15107" max="15108" width="10.875" style="5" bestFit="1" customWidth="1"/>
    <col min="15109" max="15109" width="6.25" style="5" bestFit="1" customWidth="1"/>
    <col min="15110" max="15110" width="8.875" style="5" bestFit="1" customWidth="1"/>
    <col min="15111" max="15111" width="13.875" style="5" bestFit="1" customWidth="1"/>
    <col min="15112" max="15112" width="13.25" style="5" bestFit="1" customWidth="1"/>
    <col min="15113" max="15113" width="16" style="5" bestFit="1" customWidth="1"/>
    <col min="15114" max="15114" width="11.625" style="5" bestFit="1" customWidth="1"/>
    <col min="15115" max="15115" width="16.875" style="5" customWidth="1"/>
    <col min="15116" max="15116" width="13.25" style="5" customWidth="1"/>
    <col min="15117" max="15117" width="18.375" style="5" bestFit="1" customWidth="1"/>
    <col min="15118" max="15118" width="15" style="5" bestFit="1" customWidth="1"/>
    <col min="15119" max="15119" width="14.75" style="5" bestFit="1" customWidth="1"/>
    <col min="15120" max="15120" width="14.625" style="5" bestFit="1" customWidth="1"/>
    <col min="15121" max="15121" width="13.75" style="5" bestFit="1" customWidth="1"/>
    <col min="15122" max="15122" width="14.25" style="5" bestFit="1" customWidth="1"/>
    <col min="15123" max="15123" width="15.125" style="5" customWidth="1"/>
    <col min="15124" max="15124" width="20.5" style="5" bestFit="1" customWidth="1"/>
    <col min="15125" max="15125" width="27.875" style="5" bestFit="1" customWidth="1"/>
    <col min="15126" max="15126" width="6.875" style="5" bestFit="1" customWidth="1"/>
    <col min="15127" max="15127" width="5" style="5" bestFit="1" customWidth="1"/>
    <col min="15128" max="15128" width="8" style="5" bestFit="1" customWidth="1"/>
    <col min="15129" max="15129" width="11.875" style="5" bestFit="1" customWidth="1"/>
    <col min="15130" max="15358" width="9" style="5"/>
    <col min="15359" max="15359" width="3.875" style="5" bestFit="1" customWidth="1"/>
    <col min="15360" max="15360" width="16" style="5" bestFit="1" customWidth="1"/>
    <col min="15361" max="15361" width="16.625" style="5" bestFit="1" customWidth="1"/>
    <col min="15362" max="15362" width="13.5" style="5" bestFit="1" customWidth="1"/>
    <col min="15363" max="15364" width="10.875" style="5" bestFit="1" customWidth="1"/>
    <col min="15365" max="15365" width="6.25" style="5" bestFit="1" customWidth="1"/>
    <col min="15366" max="15366" width="8.875" style="5" bestFit="1" customWidth="1"/>
    <col min="15367" max="15367" width="13.875" style="5" bestFit="1" customWidth="1"/>
    <col min="15368" max="15368" width="13.25" style="5" bestFit="1" customWidth="1"/>
    <col min="15369" max="15369" width="16" style="5" bestFit="1" customWidth="1"/>
    <col min="15370" max="15370" width="11.625" style="5" bestFit="1" customWidth="1"/>
    <col min="15371" max="15371" width="16.875" style="5" customWidth="1"/>
    <col min="15372" max="15372" width="13.25" style="5" customWidth="1"/>
    <col min="15373" max="15373" width="18.375" style="5" bestFit="1" customWidth="1"/>
    <col min="15374" max="15374" width="15" style="5" bestFit="1" customWidth="1"/>
    <col min="15375" max="15375" width="14.75" style="5" bestFit="1" customWidth="1"/>
    <col min="15376" max="15376" width="14.625" style="5" bestFit="1" customWidth="1"/>
    <col min="15377" max="15377" width="13.75" style="5" bestFit="1" customWidth="1"/>
    <col min="15378" max="15378" width="14.25" style="5" bestFit="1" customWidth="1"/>
    <col min="15379" max="15379" width="15.125" style="5" customWidth="1"/>
    <col min="15380" max="15380" width="20.5" style="5" bestFit="1" customWidth="1"/>
    <col min="15381" max="15381" width="27.875" style="5" bestFit="1" customWidth="1"/>
    <col min="15382" max="15382" width="6.875" style="5" bestFit="1" customWidth="1"/>
    <col min="15383" max="15383" width="5" style="5" bestFit="1" customWidth="1"/>
    <col min="15384" max="15384" width="8" style="5" bestFit="1" customWidth="1"/>
    <col min="15385" max="15385" width="11.875" style="5" bestFit="1" customWidth="1"/>
    <col min="15386" max="15614" width="9" style="5"/>
    <col min="15615" max="15615" width="3.875" style="5" bestFit="1" customWidth="1"/>
    <col min="15616" max="15616" width="16" style="5" bestFit="1" customWidth="1"/>
    <col min="15617" max="15617" width="16.625" style="5" bestFit="1" customWidth="1"/>
    <col min="15618" max="15618" width="13.5" style="5" bestFit="1" customWidth="1"/>
    <col min="15619" max="15620" width="10.875" style="5" bestFit="1" customWidth="1"/>
    <col min="15621" max="15621" width="6.25" style="5" bestFit="1" customWidth="1"/>
    <col min="15622" max="15622" width="8.875" style="5" bestFit="1" customWidth="1"/>
    <col min="15623" max="15623" width="13.875" style="5" bestFit="1" customWidth="1"/>
    <col min="15624" max="15624" width="13.25" style="5" bestFit="1" customWidth="1"/>
    <col min="15625" max="15625" width="16" style="5" bestFit="1" customWidth="1"/>
    <col min="15626" max="15626" width="11.625" style="5" bestFit="1" customWidth="1"/>
    <col min="15627" max="15627" width="16.875" style="5" customWidth="1"/>
    <col min="15628" max="15628" width="13.25" style="5" customWidth="1"/>
    <col min="15629" max="15629" width="18.375" style="5" bestFit="1" customWidth="1"/>
    <col min="15630" max="15630" width="15" style="5" bestFit="1" customWidth="1"/>
    <col min="15631" max="15631" width="14.75" style="5" bestFit="1" customWidth="1"/>
    <col min="15632" max="15632" width="14.625" style="5" bestFit="1" customWidth="1"/>
    <col min="15633" max="15633" width="13.75" style="5" bestFit="1" customWidth="1"/>
    <col min="15634" max="15634" width="14.25" style="5" bestFit="1" customWidth="1"/>
    <col min="15635" max="15635" width="15.125" style="5" customWidth="1"/>
    <col min="15636" max="15636" width="20.5" style="5" bestFit="1" customWidth="1"/>
    <col min="15637" max="15637" width="27.875" style="5" bestFit="1" customWidth="1"/>
    <col min="15638" max="15638" width="6.875" style="5" bestFit="1" customWidth="1"/>
    <col min="15639" max="15639" width="5" style="5" bestFit="1" customWidth="1"/>
    <col min="15640" max="15640" width="8" style="5" bestFit="1" customWidth="1"/>
    <col min="15641" max="15641" width="11.875" style="5" bestFit="1" customWidth="1"/>
    <col min="15642" max="15870" width="9" style="5"/>
    <col min="15871" max="15871" width="3.875" style="5" bestFit="1" customWidth="1"/>
    <col min="15872" max="15872" width="16" style="5" bestFit="1" customWidth="1"/>
    <col min="15873" max="15873" width="16.625" style="5" bestFit="1" customWidth="1"/>
    <col min="15874" max="15874" width="13.5" style="5" bestFit="1" customWidth="1"/>
    <col min="15875" max="15876" width="10.875" style="5" bestFit="1" customWidth="1"/>
    <col min="15877" max="15877" width="6.25" style="5" bestFit="1" customWidth="1"/>
    <col min="15878" max="15878" width="8.875" style="5" bestFit="1" customWidth="1"/>
    <col min="15879" max="15879" width="13.875" style="5" bestFit="1" customWidth="1"/>
    <col min="15880" max="15880" width="13.25" style="5" bestFit="1" customWidth="1"/>
    <col min="15881" max="15881" width="16" style="5" bestFit="1" customWidth="1"/>
    <col min="15882" max="15882" width="11.625" style="5" bestFit="1" customWidth="1"/>
    <col min="15883" max="15883" width="16.875" style="5" customWidth="1"/>
    <col min="15884" max="15884" width="13.25" style="5" customWidth="1"/>
    <col min="15885" max="15885" width="18.375" style="5" bestFit="1" customWidth="1"/>
    <col min="15886" max="15886" width="15" style="5" bestFit="1" customWidth="1"/>
    <col min="15887" max="15887" width="14.75" style="5" bestFit="1" customWidth="1"/>
    <col min="15888" max="15888" width="14.625" style="5" bestFit="1" customWidth="1"/>
    <col min="15889" max="15889" width="13.75" style="5" bestFit="1" customWidth="1"/>
    <col min="15890" max="15890" width="14.25" style="5" bestFit="1" customWidth="1"/>
    <col min="15891" max="15891" width="15.125" style="5" customWidth="1"/>
    <col min="15892" max="15892" width="20.5" style="5" bestFit="1" customWidth="1"/>
    <col min="15893" max="15893" width="27.875" style="5" bestFit="1" customWidth="1"/>
    <col min="15894" max="15894" width="6.875" style="5" bestFit="1" customWidth="1"/>
    <col min="15895" max="15895" width="5" style="5" bestFit="1" customWidth="1"/>
    <col min="15896" max="15896" width="8" style="5" bestFit="1" customWidth="1"/>
    <col min="15897" max="15897" width="11.875" style="5" bestFit="1" customWidth="1"/>
    <col min="15898" max="16126" width="9" style="5"/>
    <col min="16127" max="16127" width="3.875" style="5" bestFit="1" customWidth="1"/>
    <col min="16128" max="16128" width="16" style="5" bestFit="1" customWidth="1"/>
    <col min="16129" max="16129" width="16.625" style="5" bestFit="1" customWidth="1"/>
    <col min="16130" max="16130" width="13.5" style="5" bestFit="1" customWidth="1"/>
    <col min="16131" max="16132" width="10.875" style="5" bestFit="1" customWidth="1"/>
    <col min="16133" max="16133" width="6.25" style="5" bestFit="1" customWidth="1"/>
    <col min="16134" max="16134" width="8.875" style="5" bestFit="1" customWidth="1"/>
    <col min="16135" max="16135" width="13.875" style="5" bestFit="1" customWidth="1"/>
    <col min="16136" max="16136" width="13.25" style="5" bestFit="1" customWidth="1"/>
    <col min="16137" max="16137" width="16" style="5" bestFit="1" customWidth="1"/>
    <col min="16138" max="16138" width="11.625" style="5" bestFit="1" customWidth="1"/>
    <col min="16139" max="16139" width="16.875" style="5" customWidth="1"/>
    <col min="16140" max="16140" width="13.25" style="5" customWidth="1"/>
    <col min="16141" max="16141" width="18.375" style="5" bestFit="1" customWidth="1"/>
    <col min="16142" max="16142" width="15" style="5" bestFit="1" customWidth="1"/>
    <col min="16143" max="16143" width="14.75" style="5" bestFit="1" customWidth="1"/>
    <col min="16144" max="16144" width="14.625" style="5" bestFit="1" customWidth="1"/>
    <col min="16145" max="16145" width="13.75" style="5" bestFit="1" customWidth="1"/>
    <col min="16146" max="16146" width="14.25" style="5" bestFit="1" customWidth="1"/>
    <col min="16147" max="16147" width="15.125" style="5" customWidth="1"/>
    <col min="16148" max="16148" width="20.5" style="5" bestFit="1" customWidth="1"/>
    <col min="16149" max="16149" width="27.875" style="5" bestFit="1" customWidth="1"/>
    <col min="16150" max="16150" width="6.875" style="5" bestFit="1" customWidth="1"/>
    <col min="16151" max="16151" width="5" style="5" bestFit="1" customWidth="1"/>
    <col min="16152" max="16152" width="8" style="5" bestFit="1" customWidth="1"/>
    <col min="16153" max="16153" width="11.875" style="5" bestFit="1" customWidth="1"/>
    <col min="16154" max="16384" width="9" style="5"/>
  </cols>
  <sheetData>
    <row r="1" spans="1:35" ht="18.75" x14ac:dyDescent="0.25">
      <c r="P1" s="16" t="s">
        <v>354</v>
      </c>
      <c r="AE1" s="16"/>
    </row>
    <row r="2" spans="1:35" ht="18.75" x14ac:dyDescent="0.3">
      <c r="P2" s="11" t="s">
        <v>1</v>
      </c>
      <c r="AE2" s="11"/>
    </row>
    <row r="3" spans="1:35" ht="18.75" x14ac:dyDescent="0.3">
      <c r="P3" s="11" t="s">
        <v>265</v>
      </c>
      <c r="AE3" s="11"/>
    </row>
    <row r="4" spans="1:35" s="73" customFormat="1" ht="18.75" x14ac:dyDescent="0.3">
      <c r="A4" s="1284" t="s">
        <v>669</v>
      </c>
      <c r="B4" s="1284"/>
      <c r="C4" s="1284"/>
      <c r="D4" s="1284"/>
      <c r="E4" s="1284"/>
      <c r="F4" s="1284"/>
      <c r="G4" s="1284"/>
      <c r="H4" s="1284"/>
      <c r="I4" s="1284"/>
      <c r="J4" s="1284"/>
      <c r="K4" s="1284"/>
      <c r="L4" s="1284"/>
      <c r="M4" s="1284"/>
      <c r="N4" s="1284"/>
      <c r="O4" s="1284"/>
      <c r="P4" s="1284"/>
      <c r="Q4" s="6"/>
      <c r="R4" s="6"/>
      <c r="S4" s="6"/>
      <c r="T4" s="6"/>
      <c r="U4" s="6"/>
      <c r="V4" s="6"/>
      <c r="W4" s="6"/>
      <c r="X4" s="6"/>
      <c r="AE4" s="11"/>
    </row>
    <row r="5" spans="1:35" s="73" customFormat="1" ht="18.75" x14ac:dyDescent="0.3">
      <c r="A5" s="95"/>
      <c r="B5" s="95"/>
      <c r="C5" s="95"/>
      <c r="D5" s="95"/>
      <c r="E5" s="95"/>
      <c r="F5" s="95"/>
      <c r="G5" s="95"/>
      <c r="H5" s="95"/>
      <c r="I5" s="95"/>
      <c r="J5" s="95"/>
      <c r="K5" s="95"/>
      <c r="L5" s="95"/>
      <c r="M5" s="95"/>
      <c r="N5" s="95"/>
      <c r="O5" s="95"/>
      <c r="P5" s="95"/>
      <c r="Q5" s="6"/>
      <c r="R5" s="6"/>
      <c r="S5" s="6"/>
      <c r="T5" s="6"/>
      <c r="U5" s="6"/>
      <c r="V5" s="6"/>
      <c r="W5" s="6"/>
      <c r="X5" s="6"/>
      <c r="AE5" s="11"/>
    </row>
    <row r="6" spans="1:35" ht="16.5" x14ac:dyDescent="0.25">
      <c r="A6" s="1284" t="s">
        <v>564</v>
      </c>
      <c r="B6" s="1284"/>
      <c r="C6" s="1284"/>
      <c r="D6" s="1284"/>
      <c r="E6" s="1284"/>
      <c r="F6" s="1284"/>
      <c r="G6" s="1284"/>
      <c r="H6" s="1284"/>
      <c r="I6" s="1284"/>
      <c r="J6" s="1284"/>
      <c r="K6" s="1284"/>
      <c r="L6" s="1284"/>
      <c r="M6" s="1284"/>
      <c r="N6" s="1284"/>
      <c r="O6" s="1284"/>
      <c r="P6" s="1284"/>
      <c r="Q6" s="74"/>
      <c r="R6" s="74"/>
      <c r="S6" s="74"/>
      <c r="T6" s="74"/>
      <c r="U6" s="74"/>
      <c r="V6" s="74"/>
      <c r="W6" s="74"/>
      <c r="X6" s="74"/>
      <c r="Y6" s="74"/>
      <c r="Z6" s="74"/>
      <c r="AA6" s="74"/>
      <c r="AB6" s="74"/>
      <c r="AC6" s="74"/>
      <c r="AD6" s="74"/>
      <c r="AE6" s="74"/>
      <c r="AF6" s="74"/>
      <c r="AG6" s="74"/>
      <c r="AH6" s="74"/>
    </row>
    <row r="7" spans="1:35" s="73" customFormat="1" ht="16.5" x14ac:dyDescent="0.25">
      <c r="A7" s="95"/>
      <c r="B7" s="95"/>
      <c r="C7" s="95"/>
      <c r="D7" s="95"/>
      <c r="E7" s="95"/>
      <c r="F7" s="95"/>
      <c r="G7" s="95"/>
      <c r="H7" s="95"/>
      <c r="I7" s="95"/>
      <c r="J7" s="95"/>
      <c r="K7" s="95"/>
      <c r="L7" s="95"/>
      <c r="M7" s="95"/>
      <c r="N7" s="95"/>
      <c r="O7" s="95"/>
      <c r="P7" s="95"/>
      <c r="Q7" s="74"/>
      <c r="R7" s="74"/>
      <c r="S7" s="74"/>
      <c r="T7" s="74"/>
      <c r="U7" s="74"/>
      <c r="V7" s="74"/>
      <c r="W7" s="74"/>
      <c r="X7" s="74"/>
      <c r="Y7" s="74"/>
      <c r="Z7" s="74"/>
      <c r="AA7" s="74"/>
      <c r="AB7" s="74"/>
      <c r="AC7" s="74"/>
      <c r="AD7" s="74"/>
      <c r="AE7" s="74"/>
      <c r="AF7" s="74"/>
      <c r="AG7" s="74"/>
      <c r="AH7" s="74"/>
    </row>
    <row r="8" spans="1:35" ht="15.75" x14ac:dyDescent="0.25">
      <c r="A8" s="1281" t="s">
        <v>178</v>
      </c>
      <c r="B8" s="1281"/>
      <c r="C8" s="1281"/>
      <c r="D8" s="1281"/>
      <c r="E8" s="1281"/>
      <c r="F8" s="1281"/>
      <c r="G8" s="1281"/>
      <c r="H8" s="1281"/>
      <c r="I8" s="1281"/>
      <c r="J8" s="1281"/>
      <c r="K8" s="1281"/>
      <c r="L8" s="1281"/>
      <c r="M8" s="1281"/>
      <c r="N8" s="1281"/>
      <c r="O8" s="1281"/>
      <c r="P8" s="1281"/>
      <c r="Q8" s="68"/>
      <c r="R8" s="68"/>
      <c r="S8" s="68"/>
      <c r="T8" s="68"/>
      <c r="U8" s="68"/>
      <c r="V8" s="68"/>
      <c r="W8" s="68"/>
      <c r="X8" s="68"/>
      <c r="Y8" s="68"/>
      <c r="Z8" s="68"/>
      <c r="AA8" s="68"/>
      <c r="AB8" s="68"/>
      <c r="AC8" s="68"/>
      <c r="AD8" s="68"/>
      <c r="AE8" s="68"/>
      <c r="AF8" s="68"/>
      <c r="AG8" s="68"/>
      <c r="AH8" s="68"/>
    </row>
    <row r="9" spans="1:35" s="64" customFormat="1" ht="15.75" x14ac:dyDescent="0.25">
      <c r="A9" s="1282" t="s">
        <v>313</v>
      </c>
      <c r="B9" s="1282"/>
      <c r="C9" s="1282"/>
      <c r="D9" s="1282"/>
      <c r="E9" s="1282"/>
      <c r="F9" s="1282"/>
      <c r="G9" s="1282"/>
      <c r="H9" s="1282"/>
      <c r="I9" s="1282"/>
      <c r="J9" s="1282"/>
      <c r="K9" s="1282"/>
      <c r="L9" s="1282"/>
      <c r="M9" s="1282"/>
      <c r="N9" s="1282"/>
      <c r="O9" s="1282"/>
      <c r="P9" s="1282"/>
      <c r="Q9" s="66"/>
      <c r="R9" s="66"/>
      <c r="S9" s="66"/>
      <c r="T9" s="66"/>
      <c r="U9" s="66"/>
      <c r="V9" s="66"/>
      <c r="W9" s="66"/>
      <c r="X9" s="66"/>
      <c r="Y9" s="66"/>
      <c r="Z9" s="66"/>
      <c r="AA9" s="66"/>
      <c r="AB9" s="66"/>
      <c r="AC9" s="66"/>
      <c r="AD9" s="66"/>
      <c r="AE9" s="66"/>
      <c r="AF9" s="66"/>
      <c r="AG9" s="66"/>
      <c r="AH9" s="66"/>
    </row>
    <row r="10" spans="1:35" s="64" customFormat="1" x14ac:dyDescent="0.25">
      <c r="A10" s="1283"/>
      <c r="B10" s="1283"/>
      <c r="C10" s="1283"/>
      <c r="D10" s="1283"/>
      <c r="E10" s="1283"/>
      <c r="F10" s="1283"/>
      <c r="G10" s="1283"/>
      <c r="H10" s="1283"/>
      <c r="I10" s="1283"/>
      <c r="J10" s="1283"/>
      <c r="K10" s="1283"/>
      <c r="L10" s="1283"/>
      <c r="M10" s="1283"/>
      <c r="N10" s="1283"/>
      <c r="O10" s="1283"/>
      <c r="P10" s="1283"/>
      <c r="Q10" s="75"/>
      <c r="R10" s="75"/>
      <c r="S10" s="75"/>
      <c r="T10" s="75"/>
      <c r="U10" s="75"/>
      <c r="V10" s="75"/>
      <c r="W10" s="75"/>
      <c r="X10" s="75"/>
      <c r="Y10" s="75"/>
      <c r="Z10" s="75"/>
      <c r="AA10" s="75"/>
      <c r="AB10" s="75"/>
      <c r="AC10" s="75"/>
      <c r="AD10" s="75"/>
      <c r="AE10" s="75"/>
      <c r="AF10" s="75"/>
      <c r="AG10" s="75"/>
      <c r="AH10" s="75"/>
    </row>
    <row r="11" spans="1:35" ht="18" customHeight="1" x14ac:dyDescent="0.25">
      <c r="A11" s="1280" t="s">
        <v>54</v>
      </c>
      <c r="B11" s="1280"/>
      <c r="C11" s="1280"/>
      <c r="D11" s="1280"/>
      <c r="E11" s="1280"/>
      <c r="F11" s="1280"/>
      <c r="G11" s="1280"/>
      <c r="H11" s="1280"/>
      <c r="I11" s="1280"/>
      <c r="J11" s="1280"/>
      <c r="K11" s="1280"/>
      <c r="L11" s="1280"/>
      <c r="M11" s="1280"/>
      <c r="N11" s="1280"/>
      <c r="O11" s="1280"/>
      <c r="P11" s="1280"/>
      <c r="Q11" s="10"/>
      <c r="R11" s="10"/>
      <c r="S11" s="10"/>
      <c r="T11" s="10"/>
      <c r="U11" s="10"/>
      <c r="V11" s="10"/>
      <c r="W11" s="10"/>
      <c r="X11" s="10"/>
      <c r="Y11" s="10"/>
      <c r="Z11" s="10"/>
      <c r="AA11" s="10"/>
      <c r="AB11" s="10"/>
      <c r="AC11" s="10"/>
      <c r="AD11" s="10"/>
      <c r="AE11" s="10"/>
      <c r="AF11" s="10"/>
      <c r="AG11" s="10"/>
      <c r="AH11" s="10"/>
    </row>
    <row r="12" spans="1:35" x14ac:dyDescent="0.25">
      <c r="A12" s="1268"/>
      <c r="B12" s="1268"/>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row>
    <row r="13" spans="1:35" s="8" customFormat="1" ht="75.75" customHeight="1" x14ac:dyDescent="0.25">
      <c r="A13" s="1272" t="s">
        <v>179</v>
      </c>
      <c r="B13" s="1272" t="s">
        <v>31</v>
      </c>
      <c r="C13" s="1272" t="s">
        <v>318</v>
      </c>
      <c r="D13" s="1267" t="s">
        <v>72</v>
      </c>
      <c r="E13" s="1267"/>
      <c r="F13" s="1267"/>
      <c r="G13" s="1272" t="s">
        <v>67</v>
      </c>
      <c r="H13" s="1269" t="s">
        <v>45</v>
      </c>
      <c r="I13" s="1270"/>
      <c r="J13" s="1270"/>
      <c r="K13" s="1270"/>
      <c r="L13" s="1271"/>
      <c r="M13" s="1257" t="s">
        <v>514</v>
      </c>
      <c r="N13" s="1258"/>
      <c r="O13" s="1258"/>
      <c r="P13" s="1259"/>
      <c r="Q13" s="1257" t="s">
        <v>515</v>
      </c>
      <c r="R13" s="1258"/>
      <c r="S13" s="1258"/>
      <c r="T13" s="1259"/>
      <c r="U13" s="1264" t="s">
        <v>654</v>
      </c>
      <c r="V13" s="1276" t="s">
        <v>653</v>
      </c>
      <c r="W13" s="1277"/>
      <c r="X13" s="1260" t="s">
        <v>141</v>
      </c>
      <c r="Y13" s="1256" t="s">
        <v>97</v>
      </c>
      <c r="Z13" s="1256"/>
      <c r="AA13" s="1263" t="s">
        <v>506</v>
      </c>
      <c r="AB13" s="1263"/>
      <c r="AC13" s="1263"/>
      <c r="AD13" s="1263"/>
      <c r="AE13" s="1264" t="s">
        <v>73</v>
      </c>
      <c r="AF13" s="1263" t="s">
        <v>42</v>
      </c>
      <c r="AG13" s="1263"/>
      <c r="AH13" s="1255" t="s">
        <v>383</v>
      </c>
      <c r="AI13" s="5"/>
    </row>
    <row r="14" spans="1:35" s="8" customFormat="1" ht="213.75" customHeight="1" x14ac:dyDescent="0.25">
      <c r="A14" s="1273"/>
      <c r="B14" s="1273"/>
      <c r="C14" s="1273"/>
      <c r="D14" s="1255" t="s">
        <v>94</v>
      </c>
      <c r="E14" s="1255"/>
      <c r="F14" s="1255" t="s">
        <v>363</v>
      </c>
      <c r="G14" s="1273"/>
      <c r="H14" s="1272" t="s">
        <v>66</v>
      </c>
      <c r="I14" s="1255" t="s">
        <v>65</v>
      </c>
      <c r="J14" s="1255"/>
      <c r="K14" s="1272" t="s">
        <v>68</v>
      </c>
      <c r="L14" s="1272" t="s">
        <v>507</v>
      </c>
      <c r="M14" s="1260" t="s">
        <v>90</v>
      </c>
      <c r="N14" s="1260" t="s">
        <v>88</v>
      </c>
      <c r="O14" s="1256" t="s">
        <v>372</v>
      </c>
      <c r="P14" s="1256"/>
      <c r="Q14" s="1260" t="s">
        <v>89</v>
      </c>
      <c r="R14" s="1260" t="s">
        <v>71</v>
      </c>
      <c r="S14" s="1256" t="s">
        <v>324</v>
      </c>
      <c r="T14" s="1256"/>
      <c r="U14" s="1265"/>
      <c r="V14" s="1278"/>
      <c r="W14" s="1279"/>
      <c r="X14" s="1262"/>
      <c r="Y14" s="1256"/>
      <c r="Z14" s="1256"/>
      <c r="AA14" s="1275" t="s">
        <v>96</v>
      </c>
      <c r="AB14" s="1275"/>
      <c r="AC14" s="1267" t="s">
        <v>326</v>
      </c>
      <c r="AD14" s="1267"/>
      <c r="AE14" s="1265"/>
      <c r="AF14" s="1263" t="s">
        <v>327</v>
      </c>
      <c r="AG14" s="1263" t="s">
        <v>657</v>
      </c>
      <c r="AH14" s="1255"/>
      <c r="AI14" s="5"/>
    </row>
    <row r="15" spans="1:35" s="8" customFormat="1" ht="43.5" customHeight="1" x14ac:dyDescent="0.25">
      <c r="A15" s="1274"/>
      <c r="B15" s="1274"/>
      <c r="C15" s="1274"/>
      <c r="D15" s="80" t="s">
        <v>92</v>
      </c>
      <c r="E15" s="80" t="s">
        <v>93</v>
      </c>
      <c r="F15" s="1255"/>
      <c r="G15" s="1274"/>
      <c r="H15" s="1274"/>
      <c r="I15" s="81" t="s">
        <v>69</v>
      </c>
      <c r="J15" s="81" t="s">
        <v>70</v>
      </c>
      <c r="K15" s="1274"/>
      <c r="L15" s="1274"/>
      <c r="M15" s="1261"/>
      <c r="N15" s="1261"/>
      <c r="O15" s="24" t="s">
        <v>34</v>
      </c>
      <c r="P15" s="24" t="s">
        <v>35</v>
      </c>
      <c r="Q15" s="1261"/>
      <c r="R15" s="1261"/>
      <c r="S15" s="24" t="s">
        <v>34</v>
      </c>
      <c r="T15" s="24" t="s">
        <v>35</v>
      </c>
      <c r="U15" s="1266"/>
      <c r="V15" s="117" t="s">
        <v>670</v>
      </c>
      <c r="W15" s="103" t="s">
        <v>329</v>
      </c>
      <c r="X15" s="1261"/>
      <c r="Y15" s="24" t="s">
        <v>34</v>
      </c>
      <c r="Z15" s="24" t="s">
        <v>35</v>
      </c>
      <c r="AA15" s="60" t="s">
        <v>36</v>
      </c>
      <c r="AB15" s="60" t="s">
        <v>37</v>
      </c>
      <c r="AC15" s="60" t="s">
        <v>36</v>
      </c>
      <c r="AD15" s="60" t="s">
        <v>37</v>
      </c>
      <c r="AE15" s="1266"/>
      <c r="AF15" s="1263"/>
      <c r="AG15" s="1263"/>
      <c r="AH15" s="1255"/>
      <c r="AI15" s="5"/>
    </row>
    <row r="16" spans="1:35" s="8" customFormat="1" ht="15" customHeight="1" x14ac:dyDescent="0.25">
      <c r="A16" s="28">
        <v>1</v>
      </c>
      <c r="B16" s="28">
        <v>2</v>
      </c>
      <c r="C16" s="28">
        <v>3</v>
      </c>
      <c r="D16" s="28">
        <v>4</v>
      </c>
      <c r="E16" s="28">
        <v>5</v>
      </c>
      <c r="F16" s="28">
        <v>6</v>
      </c>
      <c r="G16" s="28">
        <v>7</v>
      </c>
      <c r="H16" s="28">
        <v>8</v>
      </c>
      <c r="I16" s="28">
        <v>9</v>
      </c>
      <c r="J16" s="28">
        <v>10</v>
      </c>
      <c r="K16" s="28">
        <v>11</v>
      </c>
      <c r="L16" s="28">
        <v>12</v>
      </c>
      <c r="M16" s="28">
        <v>13</v>
      </c>
      <c r="N16" s="28">
        <v>14</v>
      </c>
      <c r="O16" s="28">
        <v>15</v>
      </c>
      <c r="P16" s="28">
        <v>16</v>
      </c>
      <c r="Q16" s="28">
        <v>17</v>
      </c>
      <c r="R16" s="28">
        <v>18</v>
      </c>
      <c r="S16" s="28">
        <v>19</v>
      </c>
      <c r="T16" s="28">
        <v>20</v>
      </c>
      <c r="U16" s="28">
        <v>21</v>
      </c>
      <c r="V16" s="28">
        <v>22</v>
      </c>
      <c r="W16" s="28">
        <v>23</v>
      </c>
      <c r="X16" s="28">
        <v>24</v>
      </c>
      <c r="Y16" s="28">
        <v>25</v>
      </c>
      <c r="Z16" s="28">
        <v>26</v>
      </c>
      <c r="AA16" s="28">
        <v>27</v>
      </c>
      <c r="AB16" s="28">
        <v>28</v>
      </c>
      <c r="AC16" s="28">
        <v>29</v>
      </c>
      <c r="AD16" s="28">
        <v>30</v>
      </c>
      <c r="AE16" s="28">
        <v>31</v>
      </c>
      <c r="AF16" s="28">
        <v>32</v>
      </c>
      <c r="AG16" s="28">
        <v>33</v>
      </c>
      <c r="AH16" s="28">
        <v>34</v>
      </c>
      <c r="AI16" s="5"/>
    </row>
    <row r="17" spans="1:34" ht="15.75" x14ac:dyDescent="0.25">
      <c r="A17" s="29"/>
      <c r="B17" s="92"/>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0"/>
      <c r="AG17" s="50"/>
      <c r="AH17" s="50"/>
    </row>
    <row r="18" spans="1:34" ht="15.75" x14ac:dyDescent="0.25">
      <c r="A18" s="98"/>
      <c r="B18" s="93"/>
    </row>
    <row r="20" spans="1:34" x14ac:dyDescent="0.25">
      <c r="R20" s="9"/>
    </row>
  </sheetData>
  <mergeCells count="39">
    <mergeCell ref="A11:P11"/>
    <mergeCell ref="A8:P8"/>
    <mergeCell ref="A9:P9"/>
    <mergeCell ref="A10:P10"/>
    <mergeCell ref="A4:P4"/>
    <mergeCell ref="A6:P6"/>
    <mergeCell ref="D14:E14"/>
    <mergeCell ref="D13:F13"/>
    <mergeCell ref="Y13:Z14"/>
    <mergeCell ref="U13:U15"/>
    <mergeCell ref="M13:P13"/>
    <mergeCell ref="M14:M15"/>
    <mergeCell ref="V13:W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AH13:AH15"/>
    <mergeCell ref="S14:T14"/>
    <mergeCell ref="Q13:T13"/>
    <mergeCell ref="Q14:Q15"/>
    <mergeCell ref="X13:X15"/>
    <mergeCell ref="AF13:AG13"/>
    <mergeCell ref="AG14:AG15"/>
    <mergeCell ref="AE13:AE15"/>
    <mergeCell ref="AF14:AF15"/>
    <mergeCell ref="AC14:AD14"/>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1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2"/>
  <sheetViews>
    <sheetView view="pageBreakPreview" topLeftCell="A142" zoomScale="85" zoomScaleNormal="50" zoomScaleSheetLayoutView="85" workbookViewId="0">
      <selection activeCell="J27" sqref="J27"/>
    </sheetView>
  </sheetViews>
  <sheetFormatPr defaultRowHeight="15" x14ac:dyDescent="0.25"/>
  <cols>
    <col min="1" max="1" width="11.375" style="109" customWidth="1"/>
    <col min="2" max="2" width="39.375" style="9" customWidth="1"/>
    <col min="3" max="3" width="11.875" style="9" customWidth="1"/>
    <col min="4" max="4" width="10.125" style="9" customWidth="1"/>
    <col min="5" max="5" width="10.5" style="9" customWidth="1"/>
    <col min="6" max="6" width="10.625" style="9" customWidth="1"/>
    <col min="7" max="7" width="17.875" style="9" customWidth="1"/>
    <col min="8" max="8" width="15.375" style="9" customWidth="1"/>
    <col min="9" max="9" width="18.625" style="9" customWidth="1"/>
    <col min="10" max="10" width="14.5" style="9" customWidth="1"/>
    <col min="11" max="11" width="17.375" style="9" customWidth="1"/>
    <col min="12" max="12" width="15.125" style="9" customWidth="1"/>
    <col min="13" max="13" width="18.5" style="9" customWidth="1"/>
    <col min="14" max="14" width="17" style="9" customWidth="1"/>
    <col min="15" max="15" width="17.625" style="9" customWidth="1"/>
    <col min="16" max="16" width="9" style="9" customWidth="1"/>
    <col min="17" max="17" width="17.75" style="6" customWidth="1"/>
    <col min="18" max="18" width="18.375" style="6" customWidth="1"/>
    <col min="19" max="19" width="9.125" style="6" customWidth="1"/>
    <col min="20" max="20" width="9" style="6" customWidth="1"/>
    <col min="21" max="21" width="22" style="6" customWidth="1"/>
    <col min="22" max="22" width="22.625" style="6" customWidth="1"/>
    <col min="23" max="23" width="14.875" style="6" customWidth="1"/>
    <col min="24" max="24" width="10.625" style="73" customWidth="1"/>
    <col min="25" max="25" width="9.25" style="73" customWidth="1"/>
    <col min="26" max="26" width="11.125" style="73" customWidth="1"/>
    <col min="27" max="27" width="11.875" style="73" customWidth="1"/>
    <col min="28" max="28" width="15.625" style="73" customWidth="1"/>
    <col min="29" max="30" width="15.875" style="73" customWidth="1"/>
    <col min="31" max="31" width="20.75" style="73" customWidth="1"/>
    <col min="32" max="32" width="18.375" style="73" customWidth="1"/>
    <col min="33" max="33" width="29" style="73" customWidth="1"/>
    <col min="34" max="253" width="9" style="73"/>
    <col min="254" max="254" width="3.875" style="73" bestFit="1" customWidth="1"/>
    <col min="255" max="255" width="16" style="73" bestFit="1" customWidth="1"/>
    <col min="256" max="256" width="16.625" style="73" bestFit="1" customWidth="1"/>
    <col min="257" max="257" width="13.5" style="73" bestFit="1" customWidth="1"/>
    <col min="258" max="259" width="10.875" style="73" bestFit="1" customWidth="1"/>
    <col min="260" max="260" width="6.25" style="73" bestFit="1" customWidth="1"/>
    <col min="261" max="261" width="8.875" style="73" bestFit="1" customWidth="1"/>
    <col min="262" max="262" width="13.875" style="73" bestFit="1" customWidth="1"/>
    <col min="263" max="263" width="13.25" style="73" bestFit="1" customWidth="1"/>
    <col min="264" max="264" width="16" style="73" bestFit="1" customWidth="1"/>
    <col min="265" max="265" width="11.625" style="73" bestFit="1" customWidth="1"/>
    <col min="266" max="266" width="16.875" style="73" customWidth="1"/>
    <col min="267" max="267" width="13.25" style="73" customWidth="1"/>
    <col min="268" max="268" width="18.375" style="73" bestFit="1" customWidth="1"/>
    <col min="269" max="269" width="15" style="73" bestFit="1" customWidth="1"/>
    <col min="270" max="270" width="14.75" style="73" bestFit="1" customWidth="1"/>
    <col min="271" max="271" width="14.625" style="73" bestFit="1" customWidth="1"/>
    <col min="272" max="272" width="13.75" style="73" bestFit="1" customWidth="1"/>
    <col min="273" max="273" width="14.25" style="73" bestFit="1" customWidth="1"/>
    <col min="274" max="274" width="15.125" style="73" customWidth="1"/>
    <col min="275" max="275" width="20.5" style="73" bestFit="1" customWidth="1"/>
    <col min="276" max="276" width="27.875" style="73" bestFit="1" customWidth="1"/>
    <col min="277" max="277" width="6.875" style="73" bestFit="1" customWidth="1"/>
    <col min="278" max="278" width="5" style="73" bestFit="1" customWidth="1"/>
    <col min="279" max="279" width="8" style="73" bestFit="1" customWidth="1"/>
    <col min="280" max="280" width="11.875" style="73" bestFit="1" customWidth="1"/>
    <col min="281" max="509" width="9" style="73"/>
    <col min="510" max="510" width="3.875" style="73" bestFit="1" customWidth="1"/>
    <col min="511" max="511" width="16" style="73" bestFit="1" customWidth="1"/>
    <col min="512" max="512" width="16.625" style="73" bestFit="1" customWidth="1"/>
    <col min="513" max="513" width="13.5" style="73" bestFit="1" customWidth="1"/>
    <col min="514" max="515" width="10.875" style="73" bestFit="1" customWidth="1"/>
    <col min="516" max="516" width="6.25" style="73" bestFit="1" customWidth="1"/>
    <col min="517" max="517" width="8.875" style="73" bestFit="1" customWidth="1"/>
    <col min="518" max="518" width="13.875" style="73" bestFit="1" customWidth="1"/>
    <col min="519" max="519" width="13.25" style="73" bestFit="1" customWidth="1"/>
    <col min="520" max="520" width="16" style="73" bestFit="1" customWidth="1"/>
    <col min="521" max="521" width="11.625" style="73" bestFit="1" customWidth="1"/>
    <col min="522" max="522" width="16.875" style="73" customWidth="1"/>
    <col min="523" max="523" width="13.25" style="73" customWidth="1"/>
    <col min="524" max="524" width="18.375" style="73" bestFit="1" customWidth="1"/>
    <col min="525" max="525" width="15" style="73" bestFit="1" customWidth="1"/>
    <col min="526" max="526" width="14.75" style="73" bestFit="1" customWidth="1"/>
    <col min="527" max="527" width="14.625" style="73" bestFit="1" customWidth="1"/>
    <col min="528" max="528" width="13.75" style="73" bestFit="1" customWidth="1"/>
    <col min="529" max="529" width="14.25" style="73" bestFit="1" customWidth="1"/>
    <col min="530" max="530" width="15.125" style="73" customWidth="1"/>
    <col min="531" max="531" width="20.5" style="73" bestFit="1" customWidth="1"/>
    <col min="532" max="532" width="27.875" style="73" bestFit="1" customWidth="1"/>
    <col min="533" max="533" width="6.875" style="73" bestFit="1" customWidth="1"/>
    <col min="534" max="534" width="5" style="73" bestFit="1" customWidth="1"/>
    <col min="535" max="535" width="8" style="73" bestFit="1" customWidth="1"/>
    <col min="536" max="536" width="11.875" style="73" bestFit="1" customWidth="1"/>
    <col min="537" max="765" width="9" style="73"/>
    <col min="766" max="766" width="3.875" style="73" bestFit="1" customWidth="1"/>
    <col min="767" max="767" width="16" style="73" bestFit="1" customWidth="1"/>
    <col min="768" max="768" width="16.625" style="73" bestFit="1" customWidth="1"/>
    <col min="769" max="769" width="13.5" style="73" bestFit="1" customWidth="1"/>
    <col min="770" max="771" width="10.875" style="73" bestFit="1" customWidth="1"/>
    <col min="772" max="772" width="6.25" style="73" bestFit="1" customWidth="1"/>
    <col min="773" max="773" width="8.875" style="73" bestFit="1" customWidth="1"/>
    <col min="774" max="774" width="13.875" style="73" bestFit="1" customWidth="1"/>
    <col min="775" max="775" width="13.25" style="73" bestFit="1" customWidth="1"/>
    <col min="776" max="776" width="16" style="73" bestFit="1" customWidth="1"/>
    <col min="777" max="777" width="11.625" style="73" bestFit="1" customWidth="1"/>
    <col min="778" max="778" width="16.875" style="73" customWidth="1"/>
    <col min="779" max="779" width="13.25" style="73" customWidth="1"/>
    <col min="780" max="780" width="18.375" style="73" bestFit="1" customWidth="1"/>
    <col min="781" max="781" width="15" style="73" bestFit="1" customWidth="1"/>
    <col min="782" max="782" width="14.75" style="73" bestFit="1" customWidth="1"/>
    <col min="783" max="783" width="14.625" style="73" bestFit="1" customWidth="1"/>
    <col min="784" max="784" width="13.75" style="73" bestFit="1" customWidth="1"/>
    <col min="785" max="785" width="14.25" style="73" bestFit="1" customWidth="1"/>
    <col min="786" max="786" width="15.125" style="73" customWidth="1"/>
    <col min="787" max="787" width="20.5" style="73" bestFit="1" customWidth="1"/>
    <col min="788" max="788" width="27.875" style="73" bestFit="1" customWidth="1"/>
    <col min="789" max="789" width="6.875" style="73" bestFit="1" customWidth="1"/>
    <col min="790" max="790" width="5" style="73" bestFit="1" customWidth="1"/>
    <col min="791" max="791" width="8" style="73" bestFit="1" customWidth="1"/>
    <col min="792" max="792" width="11.875" style="73" bestFit="1" customWidth="1"/>
    <col min="793" max="1021" width="9" style="73"/>
    <col min="1022" max="1022" width="3.875" style="73" bestFit="1" customWidth="1"/>
    <col min="1023" max="1023" width="16" style="73" bestFit="1" customWidth="1"/>
    <col min="1024" max="1024" width="16.625" style="73" bestFit="1" customWidth="1"/>
    <col min="1025" max="1025" width="13.5" style="73" bestFit="1" customWidth="1"/>
    <col min="1026" max="1027" width="10.875" style="73" bestFit="1" customWidth="1"/>
    <col min="1028" max="1028" width="6.25" style="73" bestFit="1" customWidth="1"/>
    <col min="1029" max="1029" width="8.875" style="73" bestFit="1" customWidth="1"/>
    <col min="1030" max="1030" width="13.875" style="73" bestFit="1" customWidth="1"/>
    <col min="1031" max="1031" width="13.25" style="73" bestFit="1" customWidth="1"/>
    <col min="1032" max="1032" width="16" style="73" bestFit="1" customWidth="1"/>
    <col min="1033" max="1033" width="11.625" style="73" bestFit="1" customWidth="1"/>
    <col min="1034" max="1034" width="16.875" style="73" customWidth="1"/>
    <col min="1035" max="1035" width="13.25" style="73" customWidth="1"/>
    <col min="1036" max="1036" width="18.375" style="73" bestFit="1" customWidth="1"/>
    <col min="1037" max="1037" width="15" style="73" bestFit="1" customWidth="1"/>
    <col min="1038" max="1038" width="14.75" style="73" bestFit="1" customWidth="1"/>
    <col min="1039" max="1039" width="14.625" style="73" bestFit="1" customWidth="1"/>
    <col min="1040" max="1040" width="13.75" style="73" bestFit="1" customWidth="1"/>
    <col min="1041" max="1041" width="14.25" style="73" bestFit="1" customWidth="1"/>
    <col min="1042" max="1042" width="15.125" style="73" customWidth="1"/>
    <col min="1043" max="1043" width="20.5" style="73" bestFit="1" customWidth="1"/>
    <col min="1044" max="1044" width="27.875" style="73" bestFit="1" customWidth="1"/>
    <col min="1045" max="1045" width="6.875" style="73" bestFit="1" customWidth="1"/>
    <col min="1046" max="1046" width="5" style="73" bestFit="1" customWidth="1"/>
    <col min="1047" max="1047" width="8" style="73" bestFit="1" customWidth="1"/>
    <col min="1048" max="1048" width="11.875" style="73" bestFit="1" customWidth="1"/>
    <col min="1049" max="1277" width="9" style="73"/>
    <col min="1278" max="1278" width="3.875" style="73" bestFit="1" customWidth="1"/>
    <col min="1279" max="1279" width="16" style="73" bestFit="1" customWidth="1"/>
    <col min="1280" max="1280" width="16.625" style="73" bestFit="1" customWidth="1"/>
    <col min="1281" max="1281" width="13.5" style="73" bestFit="1" customWidth="1"/>
    <col min="1282" max="1283" width="10.875" style="73" bestFit="1" customWidth="1"/>
    <col min="1284" max="1284" width="6.25" style="73" bestFit="1" customWidth="1"/>
    <col min="1285" max="1285" width="8.875" style="73" bestFit="1" customWidth="1"/>
    <col min="1286" max="1286" width="13.875" style="73" bestFit="1" customWidth="1"/>
    <col min="1287" max="1287" width="13.25" style="73" bestFit="1" customWidth="1"/>
    <col min="1288" max="1288" width="16" style="73" bestFit="1" customWidth="1"/>
    <col min="1289" max="1289" width="11.625" style="73" bestFit="1" customWidth="1"/>
    <col min="1290" max="1290" width="16.875" style="73" customWidth="1"/>
    <col min="1291" max="1291" width="13.25" style="73" customWidth="1"/>
    <col min="1292" max="1292" width="18.375" style="73" bestFit="1" customWidth="1"/>
    <col min="1293" max="1293" width="15" style="73" bestFit="1" customWidth="1"/>
    <col min="1294" max="1294" width="14.75" style="73" bestFit="1" customWidth="1"/>
    <col min="1295" max="1295" width="14.625" style="73" bestFit="1" customWidth="1"/>
    <col min="1296" max="1296" width="13.75" style="73" bestFit="1" customWidth="1"/>
    <col min="1297" max="1297" width="14.25" style="73" bestFit="1" customWidth="1"/>
    <col min="1298" max="1298" width="15.125" style="73" customWidth="1"/>
    <col min="1299" max="1299" width="20.5" style="73" bestFit="1" customWidth="1"/>
    <col min="1300" max="1300" width="27.875" style="73" bestFit="1" customWidth="1"/>
    <col min="1301" max="1301" width="6.875" style="73" bestFit="1" customWidth="1"/>
    <col min="1302" max="1302" width="5" style="73" bestFit="1" customWidth="1"/>
    <col min="1303" max="1303" width="8" style="73" bestFit="1" customWidth="1"/>
    <col min="1304" max="1304" width="11.875" style="73" bestFit="1" customWidth="1"/>
    <col min="1305" max="1533" width="9" style="73"/>
    <col min="1534" max="1534" width="3.875" style="73" bestFit="1" customWidth="1"/>
    <col min="1535" max="1535" width="16" style="73" bestFit="1" customWidth="1"/>
    <col min="1536" max="1536" width="16.625" style="73" bestFit="1" customWidth="1"/>
    <col min="1537" max="1537" width="13.5" style="73" bestFit="1" customWidth="1"/>
    <col min="1538" max="1539" width="10.875" style="73" bestFit="1" customWidth="1"/>
    <col min="1540" max="1540" width="6.25" style="73" bestFit="1" customWidth="1"/>
    <col min="1541" max="1541" width="8.875" style="73" bestFit="1" customWidth="1"/>
    <col min="1542" max="1542" width="13.875" style="73" bestFit="1" customWidth="1"/>
    <col min="1543" max="1543" width="13.25" style="73" bestFit="1" customWidth="1"/>
    <col min="1544" max="1544" width="16" style="73" bestFit="1" customWidth="1"/>
    <col min="1545" max="1545" width="11.625" style="73" bestFit="1" customWidth="1"/>
    <col min="1546" max="1546" width="16.875" style="73" customWidth="1"/>
    <col min="1547" max="1547" width="13.25" style="73" customWidth="1"/>
    <col min="1548" max="1548" width="18.375" style="73" bestFit="1" customWidth="1"/>
    <col min="1549" max="1549" width="15" style="73" bestFit="1" customWidth="1"/>
    <col min="1550" max="1550" width="14.75" style="73" bestFit="1" customWidth="1"/>
    <col min="1551" max="1551" width="14.625" style="73" bestFit="1" customWidth="1"/>
    <col min="1552" max="1552" width="13.75" style="73" bestFit="1" customWidth="1"/>
    <col min="1553" max="1553" width="14.25" style="73" bestFit="1" customWidth="1"/>
    <col min="1554" max="1554" width="15.125" style="73" customWidth="1"/>
    <col min="1555" max="1555" width="20.5" style="73" bestFit="1" customWidth="1"/>
    <col min="1556" max="1556" width="27.875" style="73" bestFit="1" customWidth="1"/>
    <col min="1557" max="1557" width="6.875" style="73" bestFit="1" customWidth="1"/>
    <col min="1558" max="1558" width="5" style="73" bestFit="1" customWidth="1"/>
    <col min="1559" max="1559" width="8" style="73" bestFit="1" customWidth="1"/>
    <col min="1560" max="1560" width="11.875" style="73" bestFit="1" customWidth="1"/>
    <col min="1561" max="1789" width="9" style="73"/>
    <col min="1790" max="1790" width="3.875" style="73" bestFit="1" customWidth="1"/>
    <col min="1791" max="1791" width="16" style="73" bestFit="1" customWidth="1"/>
    <col min="1792" max="1792" width="16.625" style="73" bestFit="1" customWidth="1"/>
    <col min="1793" max="1793" width="13.5" style="73" bestFit="1" customWidth="1"/>
    <col min="1794" max="1795" width="10.875" style="73" bestFit="1" customWidth="1"/>
    <col min="1796" max="1796" width="6.25" style="73" bestFit="1" customWidth="1"/>
    <col min="1797" max="1797" width="8.875" style="73" bestFit="1" customWidth="1"/>
    <col min="1798" max="1798" width="13.875" style="73" bestFit="1" customWidth="1"/>
    <col min="1799" max="1799" width="13.25" style="73" bestFit="1" customWidth="1"/>
    <col min="1800" max="1800" width="16" style="73" bestFit="1" customWidth="1"/>
    <col min="1801" max="1801" width="11.625" style="73" bestFit="1" customWidth="1"/>
    <col min="1802" max="1802" width="16.875" style="73" customWidth="1"/>
    <col min="1803" max="1803" width="13.25" style="73" customWidth="1"/>
    <col min="1804" max="1804" width="18.375" style="73" bestFit="1" customWidth="1"/>
    <col min="1805" max="1805" width="15" style="73" bestFit="1" customWidth="1"/>
    <col min="1806" max="1806" width="14.75" style="73" bestFit="1" customWidth="1"/>
    <col min="1807" max="1807" width="14.625" style="73" bestFit="1" customWidth="1"/>
    <col min="1808" max="1808" width="13.75" style="73" bestFit="1" customWidth="1"/>
    <col min="1809" max="1809" width="14.25" style="73" bestFit="1" customWidth="1"/>
    <col min="1810" max="1810" width="15.125" style="73" customWidth="1"/>
    <col min="1811" max="1811" width="20.5" style="73" bestFit="1" customWidth="1"/>
    <col min="1812" max="1812" width="27.875" style="73" bestFit="1" customWidth="1"/>
    <col min="1813" max="1813" width="6.875" style="73" bestFit="1" customWidth="1"/>
    <col min="1814" max="1814" width="5" style="73" bestFit="1" customWidth="1"/>
    <col min="1815" max="1815" width="8" style="73" bestFit="1" customWidth="1"/>
    <col min="1816" max="1816" width="11.875" style="73" bestFit="1" customWidth="1"/>
    <col min="1817" max="2045" width="9" style="73"/>
    <col min="2046" max="2046" width="3.875" style="73" bestFit="1" customWidth="1"/>
    <col min="2047" max="2047" width="16" style="73" bestFit="1" customWidth="1"/>
    <col min="2048" max="2048" width="16.625" style="73" bestFit="1" customWidth="1"/>
    <col min="2049" max="2049" width="13.5" style="73" bestFit="1" customWidth="1"/>
    <col min="2050" max="2051" width="10.875" style="73" bestFit="1" customWidth="1"/>
    <col min="2052" max="2052" width="6.25" style="73" bestFit="1" customWidth="1"/>
    <col min="2053" max="2053" width="8.875" style="73" bestFit="1" customWidth="1"/>
    <col min="2054" max="2054" width="13.875" style="73" bestFit="1" customWidth="1"/>
    <col min="2055" max="2055" width="13.25" style="73" bestFit="1" customWidth="1"/>
    <col min="2056" max="2056" width="16" style="73" bestFit="1" customWidth="1"/>
    <col min="2057" max="2057" width="11.625" style="73" bestFit="1" customWidth="1"/>
    <col min="2058" max="2058" width="16.875" style="73" customWidth="1"/>
    <col min="2059" max="2059" width="13.25" style="73" customWidth="1"/>
    <col min="2060" max="2060" width="18.375" style="73" bestFit="1" customWidth="1"/>
    <col min="2061" max="2061" width="15" style="73" bestFit="1" customWidth="1"/>
    <col min="2062" max="2062" width="14.75" style="73" bestFit="1" customWidth="1"/>
    <col min="2063" max="2063" width="14.625" style="73" bestFit="1" customWidth="1"/>
    <col min="2064" max="2064" width="13.75" style="73" bestFit="1" customWidth="1"/>
    <col min="2065" max="2065" width="14.25" style="73" bestFit="1" customWidth="1"/>
    <col min="2066" max="2066" width="15.125" style="73" customWidth="1"/>
    <col min="2067" max="2067" width="20.5" style="73" bestFit="1" customWidth="1"/>
    <col min="2068" max="2068" width="27.875" style="73" bestFit="1" customWidth="1"/>
    <col min="2069" max="2069" width="6.875" style="73" bestFit="1" customWidth="1"/>
    <col min="2070" max="2070" width="5" style="73" bestFit="1" customWidth="1"/>
    <col min="2071" max="2071" width="8" style="73" bestFit="1" customWidth="1"/>
    <col min="2072" max="2072" width="11.875" style="73" bestFit="1" customWidth="1"/>
    <col min="2073" max="2301" width="9" style="73"/>
    <col min="2302" max="2302" width="3.875" style="73" bestFit="1" customWidth="1"/>
    <col min="2303" max="2303" width="16" style="73" bestFit="1" customWidth="1"/>
    <col min="2304" max="2304" width="16.625" style="73" bestFit="1" customWidth="1"/>
    <col min="2305" max="2305" width="13.5" style="73" bestFit="1" customWidth="1"/>
    <col min="2306" max="2307" width="10.875" style="73" bestFit="1" customWidth="1"/>
    <col min="2308" max="2308" width="6.25" style="73" bestFit="1" customWidth="1"/>
    <col min="2309" max="2309" width="8.875" style="73" bestFit="1" customWidth="1"/>
    <col min="2310" max="2310" width="13.875" style="73" bestFit="1" customWidth="1"/>
    <col min="2311" max="2311" width="13.25" style="73" bestFit="1" customWidth="1"/>
    <col min="2312" max="2312" width="16" style="73" bestFit="1" customWidth="1"/>
    <col min="2313" max="2313" width="11.625" style="73" bestFit="1" customWidth="1"/>
    <col min="2314" max="2314" width="16.875" style="73" customWidth="1"/>
    <col min="2315" max="2315" width="13.25" style="73" customWidth="1"/>
    <col min="2316" max="2316" width="18.375" style="73" bestFit="1" customWidth="1"/>
    <col min="2317" max="2317" width="15" style="73" bestFit="1" customWidth="1"/>
    <col min="2318" max="2318" width="14.75" style="73" bestFit="1" customWidth="1"/>
    <col min="2319" max="2319" width="14.625" style="73" bestFit="1" customWidth="1"/>
    <col min="2320" max="2320" width="13.75" style="73" bestFit="1" customWidth="1"/>
    <col min="2321" max="2321" width="14.25" style="73" bestFit="1" customWidth="1"/>
    <col min="2322" max="2322" width="15.125" style="73" customWidth="1"/>
    <col min="2323" max="2323" width="20.5" style="73" bestFit="1" customWidth="1"/>
    <col min="2324" max="2324" width="27.875" style="73" bestFit="1" customWidth="1"/>
    <col min="2325" max="2325" width="6.875" style="73" bestFit="1" customWidth="1"/>
    <col min="2326" max="2326" width="5" style="73" bestFit="1" customWidth="1"/>
    <col min="2327" max="2327" width="8" style="73" bestFit="1" customWidth="1"/>
    <col min="2328" max="2328" width="11.875" style="73" bestFit="1" customWidth="1"/>
    <col min="2329" max="2557" width="9" style="73"/>
    <col min="2558" max="2558" width="3.875" style="73" bestFit="1" customWidth="1"/>
    <col min="2559" max="2559" width="16" style="73" bestFit="1" customWidth="1"/>
    <col min="2560" max="2560" width="16.625" style="73" bestFit="1" customWidth="1"/>
    <col min="2561" max="2561" width="13.5" style="73" bestFit="1" customWidth="1"/>
    <col min="2562" max="2563" width="10.875" style="73" bestFit="1" customWidth="1"/>
    <col min="2564" max="2564" width="6.25" style="73" bestFit="1" customWidth="1"/>
    <col min="2565" max="2565" width="8.875" style="73" bestFit="1" customWidth="1"/>
    <col min="2566" max="2566" width="13.875" style="73" bestFit="1" customWidth="1"/>
    <col min="2567" max="2567" width="13.25" style="73" bestFit="1" customWidth="1"/>
    <col min="2568" max="2568" width="16" style="73" bestFit="1" customWidth="1"/>
    <col min="2569" max="2569" width="11.625" style="73" bestFit="1" customWidth="1"/>
    <col min="2570" max="2570" width="16.875" style="73" customWidth="1"/>
    <col min="2571" max="2571" width="13.25" style="73" customWidth="1"/>
    <col min="2572" max="2572" width="18.375" style="73" bestFit="1" customWidth="1"/>
    <col min="2573" max="2573" width="15" style="73" bestFit="1" customWidth="1"/>
    <col min="2574" max="2574" width="14.75" style="73" bestFit="1" customWidth="1"/>
    <col min="2575" max="2575" width="14.625" style="73" bestFit="1" customWidth="1"/>
    <col min="2576" max="2576" width="13.75" style="73" bestFit="1" customWidth="1"/>
    <col min="2577" max="2577" width="14.25" style="73" bestFit="1" customWidth="1"/>
    <col min="2578" max="2578" width="15.125" style="73" customWidth="1"/>
    <col min="2579" max="2579" width="20.5" style="73" bestFit="1" customWidth="1"/>
    <col min="2580" max="2580" width="27.875" style="73" bestFit="1" customWidth="1"/>
    <col min="2581" max="2581" width="6.875" style="73" bestFit="1" customWidth="1"/>
    <col min="2582" max="2582" width="5" style="73" bestFit="1" customWidth="1"/>
    <col min="2583" max="2583" width="8" style="73" bestFit="1" customWidth="1"/>
    <col min="2584" max="2584" width="11.875" style="73" bestFit="1" customWidth="1"/>
    <col min="2585" max="2813" width="9" style="73"/>
    <col min="2814" max="2814" width="3.875" style="73" bestFit="1" customWidth="1"/>
    <col min="2815" max="2815" width="16" style="73" bestFit="1" customWidth="1"/>
    <col min="2816" max="2816" width="16.625" style="73" bestFit="1" customWidth="1"/>
    <col min="2817" max="2817" width="13.5" style="73" bestFit="1" customWidth="1"/>
    <col min="2818" max="2819" width="10.875" style="73" bestFit="1" customWidth="1"/>
    <col min="2820" max="2820" width="6.25" style="73" bestFit="1" customWidth="1"/>
    <col min="2821" max="2821" width="8.875" style="73" bestFit="1" customWidth="1"/>
    <col min="2822" max="2822" width="13.875" style="73" bestFit="1" customWidth="1"/>
    <col min="2823" max="2823" width="13.25" style="73" bestFit="1" customWidth="1"/>
    <col min="2824" max="2824" width="16" style="73" bestFit="1" customWidth="1"/>
    <col min="2825" max="2825" width="11.625" style="73" bestFit="1" customWidth="1"/>
    <col min="2826" max="2826" width="16.875" style="73" customWidth="1"/>
    <col min="2827" max="2827" width="13.25" style="73" customWidth="1"/>
    <col min="2828" max="2828" width="18.375" style="73" bestFit="1" customWidth="1"/>
    <col min="2829" max="2829" width="15" style="73" bestFit="1" customWidth="1"/>
    <col min="2830" max="2830" width="14.75" style="73" bestFit="1" customWidth="1"/>
    <col min="2831" max="2831" width="14.625" style="73" bestFit="1" customWidth="1"/>
    <col min="2832" max="2832" width="13.75" style="73" bestFit="1" customWidth="1"/>
    <col min="2833" max="2833" width="14.25" style="73" bestFit="1" customWidth="1"/>
    <col min="2834" max="2834" width="15.125" style="73" customWidth="1"/>
    <col min="2835" max="2835" width="20.5" style="73" bestFit="1" customWidth="1"/>
    <col min="2836" max="2836" width="27.875" style="73" bestFit="1" customWidth="1"/>
    <col min="2837" max="2837" width="6.875" style="73" bestFit="1" customWidth="1"/>
    <col min="2838" max="2838" width="5" style="73" bestFit="1" customWidth="1"/>
    <col min="2839" max="2839" width="8" style="73" bestFit="1" customWidth="1"/>
    <col min="2840" max="2840" width="11.875" style="73" bestFit="1" customWidth="1"/>
    <col min="2841" max="3069" width="9" style="73"/>
    <col min="3070" max="3070" width="3.875" style="73" bestFit="1" customWidth="1"/>
    <col min="3071" max="3071" width="16" style="73" bestFit="1" customWidth="1"/>
    <col min="3072" max="3072" width="16.625" style="73" bestFit="1" customWidth="1"/>
    <col min="3073" max="3073" width="13.5" style="73" bestFit="1" customWidth="1"/>
    <col min="3074" max="3075" width="10.875" style="73" bestFit="1" customWidth="1"/>
    <col min="3076" max="3076" width="6.25" style="73" bestFit="1" customWidth="1"/>
    <col min="3077" max="3077" width="8.875" style="73" bestFit="1" customWidth="1"/>
    <col min="3078" max="3078" width="13.875" style="73" bestFit="1" customWidth="1"/>
    <col min="3079" max="3079" width="13.25" style="73" bestFit="1" customWidth="1"/>
    <col min="3080" max="3080" width="16" style="73" bestFit="1" customWidth="1"/>
    <col min="3081" max="3081" width="11.625" style="73" bestFit="1" customWidth="1"/>
    <col min="3082" max="3082" width="16.875" style="73" customWidth="1"/>
    <col min="3083" max="3083" width="13.25" style="73" customWidth="1"/>
    <col min="3084" max="3084" width="18.375" style="73" bestFit="1" customWidth="1"/>
    <col min="3085" max="3085" width="15" style="73" bestFit="1" customWidth="1"/>
    <col min="3086" max="3086" width="14.75" style="73" bestFit="1" customWidth="1"/>
    <col min="3087" max="3087" width="14.625" style="73" bestFit="1" customWidth="1"/>
    <col min="3088" max="3088" width="13.75" style="73" bestFit="1" customWidth="1"/>
    <col min="3089" max="3089" width="14.25" style="73" bestFit="1" customWidth="1"/>
    <col min="3090" max="3090" width="15.125" style="73" customWidth="1"/>
    <col min="3091" max="3091" width="20.5" style="73" bestFit="1" customWidth="1"/>
    <col min="3092" max="3092" width="27.875" style="73" bestFit="1" customWidth="1"/>
    <col min="3093" max="3093" width="6.875" style="73" bestFit="1" customWidth="1"/>
    <col min="3094" max="3094" width="5" style="73" bestFit="1" customWidth="1"/>
    <col min="3095" max="3095" width="8" style="73" bestFit="1" customWidth="1"/>
    <col min="3096" max="3096" width="11.875" style="73" bestFit="1" customWidth="1"/>
    <col min="3097" max="3325" width="9" style="73"/>
    <col min="3326" max="3326" width="3.875" style="73" bestFit="1" customWidth="1"/>
    <col min="3327" max="3327" width="16" style="73" bestFit="1" customWidth="1"/>
    <col min="3328" max="3328" width="16.625" style="73" bestFit="1" customWidth="1"/>
    <col min="3329" max="3329" width="13.5" style="73" bestFit="1" customWidth="1"/>
    <col min="3330" max="3331" width="10.875" style="73" bestFit="1" customWidth="1"/>
    <col min="3332" max="3332" width="6.25" style="73" bestFit="1" customWidth="1"/>
    <col min="3333" max="3333" width="8.875" style="73" bestFit="1" customWidth="1"/>
    <col min="3334" max="3334" width="13.875" style="73" bestFit="1" customWidth="1"/>
    <col min="3335" max="3335" width="13.25" style="73" bestFit="1" customWidth="1"/>
    <col min="3336" max="3336" width="16" style="73" bestFit="1" customWidth="1"/>
    <col min="3337" max="3337" width="11.625" style="73" bestFit="1" customWidth="1"/>
    <col min="3338" max="3338" width="16.875" style="73" customWidth="1"/>
    <col min="3339" max="3339" width="13.25" style="73" customWidth="1"/>
    <col min="3340" max="3340" width="18.375" style="73" bestFit="1" customWidth="1"/>
    <col min="3341" max="3341" width="15" style="73" bestFit="1" customWidth="1"/>
    <col min="3342" max="3342" width="14.75" style="73" bestFit="1" customWidth="1"/>
    <col min="3343" max="3343" width="14.625" style="73" bestFit="1" customWidth="1"/>
    <col min="3344" max="3344" width="13.75" style="73" bestFit="1" customWidth="1"/>
    <col min="3345" max="3345" width="14.25" style="73" bestFit="1" customWidth="1"/>
    <col min="3346" max="3346" width="15.125" style="73" customWidth="1"/>
    <col min="3347" max="3347" width="20.5" style="73" bestFit="1" customWidth="1"/>
    <col min="3348" max="3348" width="27.875" style="73" bestFit="1" customWidth="1"/>
    <col min="3349" max="3349" width="6.875" style="73" bestFit="1" customWidth="1"/>
    <col min="3350" max="3350" width="5" style="73" bestFit="1" customWidth="1"/>
    <col min="3351" max="3351" width="8" style="73" bestFit="1" customWidth="1"/>
    <col min="3352" max="3352" width="11.875" style="73" bestFit="1" customWidth="1"/>
    <col min="3353" max="3581" width="9" style="73"/>
    <col min="3582" max="3582" width="3.875" style="73" bestFit="1" customWidth="1"/>
    <col min="3583" max="3583" width="16" style="73" bestFit="1" customWidth="1"/>
    <col min="3584" max="3584" width="16.625" style="73" bestFit="1" customWidth="1"/>
    <col min="3585" max="3585" width="13.5" style="73" bestFit="1" customWidth="1"/>
    <col min="3586" max="3587" width="10.875" style="73" bestFit="1" customWidth="1"/>
    <col min="3588" max="3588" width="6.25" style="73" bestFit="1" customWidth="1"/>
    <col min="3589" max="3589" width="8.875" style="73" bestFit="1" customWidth="1"/>
    <col min="3590" max="3590" width="13.875" style="73" bestFit="1" customWidth="1"/>
    <col min="3591" max="3591" width="13.25" style="73" bestFit="1" customWidth="1"/>
    <col min="3592" max="3592" width="16" style="73" bestFit="1" customWidth="1"/>
    <col min="3593" max="3593" width="11.625" style="73" bestFit="1" customWidth="1"/>
    <col min="3594" max="3594" width="16.875" style="73" customWidth="1"/>
    <col min="3595" max="3595" width="13.25" style="73" customWidth="1"/>
    <col min="3596" max="3596" width="18.375" style="73" bestFit="1" customWidth="1"/>
    <col min="3597" max="3597" width="15" style="73" bestFit="1" customWidth="1"/>
    <col min="3598" max="3598" width="14.75" style="73" bestFit="1" customWidth="1"/>
    <col min="3599" max="3599" width="14.625" style="73" bestFit="1" customWidth="1"/>
    <col min="3600" max="3600" width="13.75" style="73" bestFit="1" customWidth="1"/>
    <col min="3601" max="3601" width="14.25" style="73" bestFit="1" customWidth="1"/>
    <col min="3602" max="3602" width="15.125" style="73" customWidth="1"/>
    <col min="3603" max="3603" width="20.5" style="73" bestFit="1" customWidth="1"/>
    <col min="3604" max="3604" width="27.875" style="73" bestFit="1" customWidth="1"/>
    <col min="3605" max="3605" width="6.875" style="73" bestFit="1" customWidth="1"/>
    <col min="3606" max="3606" width="5" style="73" bestFit="1" customWidth="1"/>
    <col min="3607" max="3607" width="8" style="73" bestFit="1" customWidth="1"/>
    <col min="3608" max="3608" width="11.875" style="73" bestFit="1" customWidth="1"/>
    <col min="3609" max="3837" width="9" style="73"/>
    <col min="3838" max="3838" width="3.875" style="73" bestFit="1" customWidth="1"/>
    <col min="3839" max="3839" width="16" style="73" bestFit="1" customWidth="1"/>
    <col min="3840" max="3840" width="16.625" style="73" bestFit="1" customWidth="1"/>
    <col min="3841" max="3841" width="13.5" style="73" bestFit="1" customWidth="1"/>
    <col min="3842" max="3843" width="10.875" style="73" bestFit="1" customWidth="1"/>
    <col min="3844" max="3844" width="6.25" style="73" bestFit="1" customWidth="1"/>
    <col min="3845" max="3845" width="8.875" style="73" bestFit="1" customWidth="1"/>
    <col min="3846" max="3846" width="13.875" style="73" bestFit="1" customWidth="1"/>
    <col min="3847" max="3847" width="13.25" style="73" bestFit="1" customWidth="1"/>
    <col min="3848" max="3848" width="16" style="73" bestFit="1" customWidth="1"/>
    <col min="3849" max="3849" width="11.625" style="73" bestFit="1" customWidth="1"/>
    <col min="3850" max="3850" width="16.875" style="73" customWidth="1"/>
    <col min="3851" max="3851" width="13.25" style="73" customWidth="1"/>
    <col min="3852" max="3852" width="18.375" style="73" bestFit="1" customWidth="1"/>
    <col min="3853" max="3853" width="15" style="73" bestFit="1" customWidth="1"/>
    <col min="3854" max="3854" width="14.75" style="73" bestFit="1" customWidth="1"/>
    <col min="3855" max="3855" width="14.625" style="73" bestFit="1" customWidth="1"/>
    <col min="3856" max="3856" width="13.75" style="73" bestFit="1" customWidth="1"/>
    <col min="3857" max="3857" width="14.25" style="73" bestFit="1" customWidth="1"/>
    <col min="3858" max="3858" width="15.125" style="73" customWidth="1"/>
    <col min="3859" max="3859" width="20.5" style="73" bestFit="1" customWidth="1"/>
    <col min="3860" max="3860" width="27.875" style="73" bestFit="1" customWidth="1"/>
    <col min="3861" max="3861" width="6.875" style="73" bestFit="1" customWidth="1"/>
    <col min="3862" max="3862" width="5" style="73" bestFit="1" customWidth="1"/>
    <col min="3863" max="3863" width="8" style="73" bestFit="1" customWidth="1"/>
    <col min="3864" max="3864" width="11.875" style="73" bestFit="1" customWidth="1"/>
    <col min="3865" max="4093" width="9" style="73"/>
    <col min="4094" max="4094" width="3.875" style="73" bestFit="1" customWidth="1"/>
    <col min="4095" max="4095" width="16" style="73" bestFit="1" customWidth="1"/>
    <col min="4096" max="4096" width="16.625" style="73" bestFit="1" customWidth="1"/>
    <col min="4097" max="4097" width="13.5" style="73" bestFit="1" customWidth="1"/>
    <col min="4098" max="4099" width="10.875" style="73" bestFit="1" customWidth="1"/>
    <col min="4100" max="4100" width="6.25" style="73" bestFit="1" customWidth="1"/>
    <col min="4101" max="4101" width="8.875" style="73" bestFit="1" customWidth="1"/>
    <col min="4102" max="4102" width="13.875" style="73" bestFit="1" customWidth="1"/>
    <col min="4103" max="4103" width="13.25" style="73" bestFit="1" customWidth="1"/>
    <col min="4104" max="4104" width="16" style="73" bestFit="1" customWidth="1"/>
    <col min="4105" max="4105" width="11.625" style="73" bestFit="1" customWidth="1"/>
    <col min="4106" max="4106" width="16.875" style="73" customWidth="1"/>
    <col min="4107" max="4107" width="13.25" style="73" customWidth="1"/>
    <col min="4108" max="4108" width="18.375" style="73" bestFit="1" customWidth="1"/>
    <col min="4109" max="4109" width="15" style="73" bestFit="1" customWidth="1"/>
    <col min="4110" max="4110" width="14.75" style="73" bestFit="1" customWidth="1"/>
    <col min="4111" max="4111" width="14.625" style="73" bestFit="1" customWidth="1"/>
    <col min="4112" max="4112" width="13.75" style="73" bestFit="1" customWidth="1"/>
    <col min="4113" max="4113" width="14.25" style="73" bestFit="1" customWidth="1"/>
    <col min="4114" max="4114" width="15.125" style="73" customWidth="1"/>
    <col min="4115" max="4115" width="20.5" style="73" bestFit="1" customWidth="1"/>
    <col min="4116" max="4116" width="27.875" style="73" bestFit="1" customWidth="1"/>
    <col min="4117" max="4117" width="6.875" style="73" bestFit="1" customWidth="1"/>
    <col min="4118" max="4118" width="5" style="73" bestFit="1" customWidth="1"/>
    <col min="4119" max="4119" width="8" style="73" bestFit="1" customWidth="1"/>
    <col min="4120" max="4120" width="11.875" style="73" bestFit="1" customWidth="1"/>
    <col min="4121" max="4349" width="9" style="73"/>
    <col min="4350" max="4350" width="3.875" style="73" bestFit="1" customWidth="1"/>
    <col min="4351" max="4351" width="16" style="73" bestFit="1" customWidth="1"/>
    <col min="4352" max="4352" width="16.625" style="73" bestFit="1" customWidth="1"/>
    <col min="4353" max="4353" width="13.5" style="73" bestFit="1" customWidth="1"/>
    <col min="4354" max="4355" width="10.875" style="73" bestFit="1" customWidth="1"/>
    <col min="4356" max="4356" width="6.25" style="73" bestFit="1" customWidth="1"/>
    <col min="4357" max="4357" width="8.875" style="73" bestFit="1" customWidth="1"/>
    <col min="4358" max="4358" width="13.875" style="73" bestFit="1" customWidth="1"/>
    <col min="4359" max="4359" width="13.25" style="73" bestFit="1" customWidth="1"/>
    <col min="4360" max="4360" width="16" style="73" bestFit="1" customWidth="1"/>
    <col min="4361" max="4361" width="11.625" style="73" bestFit="1" customWidth="1"/>
    <col min="4362" max="4362" width="16.875" style="73" customWidth="1"/>
    <col min="4363" max="4363" width="13.25" style="73" customWidth="1"/>
    <col min="4364" max="4364" width="18.375" style="73" bestFit="1" customWidth="1"/>
    <col min="4365" max="4365" width="15" style="73" bestFit="1" customWidth="1"/>
    <col min="4366" max="4366" width="14.75" style="73" bestFit="1" customWidth="1"/>
    <col min="4367" max="4367" width="14.625" style="73" bestFit="1" customWidth="1"/>
    <col min="4368" max="4368" width="13.75" style="73" bestFit="1" customWidth="1"/>
    <col min="4369" max="4369" width="14.25" style="73" bestFit="1" customWidth="1"/>
    <col min="4370" max="4370" width="15.125" style="73" customWidth="1"/>
    <col min="4371" max="4371" width="20.5" style="73" bestFit="1" customWidth="1"/>
    <col min="4372" max="4372" width="27.875" style="73" bestFit="1" customWidth="1"/>
    <col min="4373" max="4373" width="6.875" style="73" bestFit="1" customWidth="1"/>
    <col min="4374" max="4374" width="5" style="73" bestFit="1" customWidth="1"/>
    <col min="4375" max="4375" width="8" style="73" bestFit="1" customWidth="1"/>
    <col min="4376" max="4376" width="11.875" style="73" bestFit="1" customWidth="1"/>
    <col min="4377" max="4605" width="9" style="73"/>
    <col min="4606" max="4606" width="3.875" style="73" bestFit="1" customWidth="1"/>
    <col min="4607" max="4607" width="16" style="73" bestFit="1" customWidth="1"/>
    <col min="4608" max="4608" width="16.625" style="73" bestFit="1" customWidth="1"/>
    <col min="4609" max="4609" width="13.5" style="73" bestFit="1" customWidth="1"/>
    <col min="4610" max="4611" width="10.875" style="73" bestFit="1" customWidth="1"/>
    <col min="4612" max="4612" width="6.25" style="73" bestFit="1" customWidth="1"/>
    <col min="4613" max="4613" width="8.875" style="73" bestFit="1" customWidth="1"/>
    <col min="4614" max="4614" width="13.875" style="73" bestFit="1" customWidth="1"/>
    <col min="4615" max="4615" width="13.25" style="73" bestFit="1" customWidth="1"/>
    <col min="4616" max="4616" width="16" style="73" bestFit="1" customWidth="1"/>
    <col min="4617" max="4617" width="11.625" style="73" bestFit="1" customWidth="1"/>
    <col min="4618" max="4618" width="16.875" style="73" customWidth="1"/>
    <col min="4619" max="4619" width="13.25" style="73" customWidth="1"/>
    <col min="4620" max="4620" width="18.375" style="73" bestFit="1" customWidth="1"/>
    <col min="4621" max="4621" width="15" style="73" bestFit="1" customWidth="1"/>
    <col min="4622" max="4622" width="14.75" style="73" bestFit="1" customWidth="1"/>
    <col min="4623" max="4623" width="14.625" style="73" bestFit="1" customWidth="1"/>
    <col min="4624" max="4624" width="13.75" style="73" bestFit="1" customWidth="1"/>
    <col min="4625" max="4625" width="14.25" style="73" bestFit="1" customWidth="1"/>
    <col min="4626" max="4626" width="15.125" style="73" customWidth="1"/>
    <col min="4627" max="4627" width="20.5" style="73" bestFit="1" customWidth="1"/>
    <col min="4628" max="4628" width="27.875" style="73" bestFit="1" customWidth="1"/>
    <col min="4629" max="4629" width="6.875" style="73" bestFit="1" customWidth="1"/>
    <col min="4630" max="4630" width="5" style="73" bestFit="1" customWidth="1"/>
    <col min="4631" max="4631" width="8" style="73" bestFit="1" customWidth="1"/>
    <col min="4632" max="4632" width="11.875" style="73" bestFit="1" customWidth="1"/>
    <col min="4633" max="4861" width="9" style="73"/>
    <col min="4862" max="4862" width="3.875" style="73" bestFit="1" customWidth="1"/>
    <col min="4863" max="4863" width="16" style="73" bestFit="1" customWidth="1"/>
    <col min="4864" max="4864" width="16.625" style="73" bestFit="1" customWidth="1"/>
    <col min="4865" max="4865" width="13.5" style="73" bestFit="1" customWidth="1"/>
    <col min="4866" max="4867" width="10.875" style="73" bestFit="1" customWidth="1"/>
    <col min="4868" max="4868" width="6.25" style="73" bestFit="1" customWidth="1"/>
    <col min="4869" max="4869" width="8.875" style="73" bestFit="1" customWidth="1"/>
    <col min="4870" max="4870" width="13.875" style="73" bestFit="1" customWidth="1"/>
    <col min="4871" max="4871" width="13.25" style="73" bestFit="1" customWidth="1"/>
    <col min="4872" max="4872" width="16" style="73" bestFit="1" customWidth="1"/>
    <col min="4873" max="4873" width="11.625" style="73" bestFit="1" customWidth="1"/>
    <col min="4874" max="4874" width="16.875" style="73" customWidth="1"/>
    <col min="4875" max="4875" width="13.25" style="73" customWidth="1"/>
    <col min="4876" max="4876" width="18.375" style="73" bestFit="1" customWidth="1"/>
    <col min="4877" max="4877" width="15" style="73" bestFit="1" customWidth="1"/>
    <col min="4878" max="4878" width="14.75" style="73" bestFit="1" customWidth="1"/>
    <col min="4879" max="4879" width="14.625" style="73" bestFit="1" customWidth="1"/>
    <col min="4880" max="4880" width="13.75" style="73" bestFit="1" customWidth="1"/>
    <col min="4881" max="4881" width="14.25" style="73" bestFit="1" customWidth="1"/>
    <col min="4882" max="4882" width="15.125" style="73" customWidth="1"/>
    <col min="4883" max="4883" width="20.5" style="73" bestFit="1" customWidth="1"/>
    <col min="4884" max="4884" width="27.875" style="73" bestFit="1" customWidth="1"/>
    <col min="4885" max="4885" width="6.875" style="73" bestFit="1" customWidth="1"/>
    <col min="4886" max="4886" width="5" style="73" bestFit="1" customWidth="1"/>
    <col min="4887" max="4887" width="8" style="73" bestFit="1" customWidth="1"/>
    <col min="4888" max="4888" width="11.875" style="73" bestFit="1" customWidth="1"/>
    <col min="4889" max="5117" width="9" style="73"/>
    <col min="5118" max="5118" width="3.875" style="73" bestFit="1" customWidth="1"/>
    <col min="5119" max="5119" width="16" style="73" bestFit="1" customWidth="1"/>
    <col min="5120" max="5120" width="16.625" style="73" bestFit="1" customWidth="1"/>
    <col min="5121" max="5121" width="13.5" style="73" bestFit="1" customWidth="1"/>
    <col min="5122" max="5123" width="10.875" style="73" bestFit="1" customWidth="1"/>
    <col min="5124" max="5124" width="6.25" style="73" bestFit="1" customWidth="1"/>
    <col min="5125" max="5125" width="8.875" style="73" bestFit="1" customWidth="1"/>
    <col min="5126" max="5126" width="13.875" style="73" bestFit="1" customWidth="1"/>
    <col min="5127" max="5127" width="13.25" style="73" bestFit="1" customWidth="1"/>
    <col min="5128" max="5128" width="16" style="73" bestFit="1" customWidth="1"/>
    <col min="5129" max="5129" width="11.625" style="73" bestFit="1" customWidth="1"/>
    <col min="5130" max="5130" width="16.875" style="73" customWidth="1"/>
    <col min="5131" max="5131" width="13.25" style="73" customWidth="1"/>
    <col min="5132" max="5132" width="18.375" style="73" bestFit="1" customWidth="1"/>
    <col min="5133" max="5133" width="15" style="73" bestFit="1" customWidth="1"/>
    <col min="5134" max="5134" width="14.75" style="73" bestFit="1" customWidth="1"/>
    <col min="5135" max="5135" width="14.625" style="73" bestFit="1" customWidth="1"/>
    <col min="5136" max="5136" width="13.75" style="73" bestFit="1" customWidth="1"/>
    <col min="5137" max="5137" width="14.25" style="73" bestFit="1" customWidth="1"/>
    <col min="5138" max="5138" width="15.125" style="73" customWidth="1"/>
    <col min="5139" max="5139" width="20.5" style="73" bestFit="1" customWidth="1"/>
    <col min="5140" max="5140" width="27.875" style="73" bestFit="1" customWidth="1"/>
    <col min="5141" max="5141" width="6.875" style="73" bestFit="1" customWidth="1"/>
    <col min="5142" max="5142" width="5" style="73" bestFit="1" customWidth="1"/>
    <col min="5143" max="5143" width="8" style="73" bestFit="1" customWidth="1"/>
    <col min="5144" max="5144" width="11.875" style="73" bestFit="1" customWidth="1"/>
    <col min="5145" max="5373" width="9" style="73"/>
    <col min="5374" max="5374" width="3.875" style="73" bestFit="1" customWidth="1"/>
    <col min="5375" max="5375" width="16" style="73" bestFit="1" customWidth="1"/>
    <col min="5376" max="5376" width="16.625" style="73" bestFit="1" customWidth="1"/>
    <col min="5377" max="5377" width="13.5" style="73" bestFit="1" customWidth="1"/>
    <col min="5378" max="5379" width="10.875" style="73" bestFit="1" customWidth="1"/>
    <col min="5380" max="5380" width="6.25" style="73" bestFit="1" customWidth="1"/>
    <col min="5381" max="5381" width="8.875" style="73" bestFit="1" customWidth="1"/>
    <col min="5382" max="5382" width="13.875" style="73" bestFit="1" customWidth="1"/>
    <col min="5383" max="5383" width="13.25" style="73" bestFit="1" customWidth="1"/>
    <col min="5384" max="5384" width="16" style="73" bestFit="1" customWidth="1"/>
    <col min="5385" max="5385" width="11.625" style="73" bestFit="1" customWidth="1"/>
    <col min="5386" max="5386" width="16.875" style="73" customWidth="1"/>
    <col min="5387" max="5387" width="13.25" style="73" customWidth="1"/>
    <col min="5388" max="5388" width="18.375" style="73" bestFit="1" customWidth="1"/>
    <col min="5389" max="5389" width="15" style="73" bestFit="1" customWidth="1"/>
    <col min="5390" max="5390" width="14.75" style="73" bestFit="1" customWidth="1"/>
    <col min="5391" max="5391" width="14.625" style="73" bestFit="1" customWidth="1"/>
    <col min="5392" max="5392" width="13.75" style="73" bestFit="1" customWidth="1"/>
    <col min="5393" max="5393" width="14.25" style="73" bestFit="1" customWidth="1"/>
    <col min="5394" max="5394" width="15.125" style="73" customWidth="1"/>
    <col min="5395" max="5395" width="20.5" style="73" bestFit="1" customWidth="1"/>
    <col min="5396" max="5396" width="27.875" style="73" bestFit="1" customWidth="1"/>
    <col min="5397" max="5397" width="6.875" style="73" bestFit="1" customWidth="1"/>
    <col min="5398" max="5398" width="5" style="73" bestFit="1" customWidth="1"/>
    <col min="5399" max="5399" width="8" style="73" bestFit="1" customWidth="1"/>
    <col min="5400" max="5400" width="11.875" style="73" bestFit="1" customWidth="1"/>
    <col min="5401" max="5629" width="9" style="73"/>
    <col min="5630" max="5630" width="3.875" style="73" bestFit="1" customWidth="1"/>
    <col min="5631" max="5631" width="16" style="73" bestFit="1" customWidth="1"/>
    <col min="5632" max="5632" width="16.625" style="73" bestFit="1" customWidth="1"/>
    <col min="5633" max="5633" width="13.5" style="73" bestFit="1" customWidth="1"/>
    <col min="5634" max="5635" width="10.875" style="73" bestFit="1" customWidth="1"/>
    <col min="5636" max="5636" width="6.25" style="73" bestFit="1" customWidth="1"/>
    <col min="5637" max="5637" width="8.875" style="73" bestFit="1" customWidth="1"/>
    <col min="5638" max="5638" width="13.875" style="73" bestFit="1" customWidth="1"/>
    <col min="5639" max="5639" width="13.25" style="73" bestFit="1" customWidth="1"/>
    <col min="5640" max="5640" width="16" style="73" bestFit="1" customWidth="1"/>
    <col min="5641" max="5641" width="11.625" style="73" bestFit="1" customWidth="1"/>
    <col min="5642" max="5642" width="16.875" style="73" customWidth="1"/>
    <col min="5643" max="5643" width="13.25" style="73" customWidth="1"/>
    <col min="5644" max="5644" width="18.375" style="73" bestFit="1" customWidth="1"/>
    <col min="5645" max="5645" width="15" style="73" bestFit="1" customWidth="1"/>
    <col min="5646" max="5646" width="14.75" style="73" bestFit="1" customWidth="1"/>
    <col min="5647" max="5647" width="14.625" style="73" bestFit="1" customWidth="1"/>
    <col min="5648" max="5648" width="13.75" style="73" bestFit="1" customWidth="1"/>
    <col min="5649" max="5649" width="14.25" style="73" bestFit="1" customWidth="1"/>
    <col min="5650" max="5650" width="15.125" style="73" customWidth="1"/>
    <col min="5651" max="5651" width="20.5" style="73" bestFit="1" customWidth="1"/>
    <col min="5652" max="5652" width="27.875" style="73" bestFit="1" customWidth="1"/>
    <col min="5653" max="5653" width="6.875" style="73" bestFit="1" customWidth="1"/>
    <col min="5654" max="5654" width="5" style="73" bestFit="1" customWidth="1"/>
    <col min="5655" max="5655" width="8" style="73" bestFit="1" customWidth="1"/>
    <col min="5656" max="5656" width="11.875" style="73" bestFit="1" customWidth="1"/>
    <col min="5657" max="5885" width="9" style="73"/>
    <col min="5886" max="5886" width="3.875" style="73" bestFit="1" customWidth="1"/>
    <col min="5887" max="5887" width="16" style="73" bestFit="1" customWidth="1"/>
    <col min="5888" max="5888" width="16.625" style="73" bestFit="1" customWidth="1"/>
    <col min="5889" max="5889" width="13.5" style="73" bestFit="1" customWidth="1"/>
    <col min="5890" max="5891" width="10.875" style="73" bestFit="1" customWidth="1"/>
    <col min="5892" max="5892" width="6.25" style="73" bestFit="1" customWidth="1"/>
    <col min="5893" max="5893" width="8.875" style="73" bestFit="1" customWidth="1"/>
    <col min="5894" max="5894" width="13.875" style="73" bestFit="1" customWidth="1"/>
    <col min="5895" max="5895" width="13.25" style="73" bestFit="1" customWidth="1"/>
    <col min="5896" max="5896" width="16" style="73" bestFit="1" customWidth="1"/>
    <col min="5897" max="5897" width="11.625" style="73" bestFit="1" customWidth="1"/>
    <col min="5898" max="5898" width="16.875" style="73" customWidth="1"/>
    <col min="5899" max="5899" width="13.25" style="73" customWidth="1"/>
    <col min="5900" max="5900" width="18.375" style="73" bestFit="1" customWidth="1"/>
    <col min="5901" max="5901" width="15" style="73" bestFit="1" customWidth="1"/>
    <col min="5902" max="5902" width="14.75" style="73" bestFit="1" customWidth="1"/>
    <col min="5903" max="5903" width="14.625" style="73" bestFit="1" customWidth="1"/>
    <col min="5904" max="5904" width="13.75" style="73" bestFit="1" customWidth="1"/>
    <col min="5905" max="5905" width="14.25" style="73" bestFit="1" customWidth="1"/>
    <col min="5906" max="5906" width="15.125" style="73" customWidth="1"/>
    <col min="5907" max="5907" width="20.5" style="73" bestFit="1" customWidth="1"/>
    <col min="5908" max="5908" width="27.875" style="73" bestFit="1" customWidth="1"/>
    <col min="5909" max="5909" width="6.875" style="73" bestFit="1" customWidth="1"/>
    <col min="5910" max="5910" width="5" style="73" bestFit="1" customWidth="1"/>
    <col min="5911" max="5911" width="8" style="73" bestFit="1" customWidth="1"/>
    <col min="5912" max="5912" width="11.875" style="73" bestFit="1" customWidth="1"/>
    <col min="5913" max="6141" width="9" style="73"/>
    <col min="6142" max="6142" width="3.875" style="73" bestFit="1" customWidth="1"/>
    <col min="6143" max="6143" width="16" style="73" bestFit="1" customWidth="1"/>
    <col min="6144" max="6144" width="16.625" style="73" bestFit="1" customWidth="1"/>
    <col min="6145" max="6145" width="13.5" style="73" bestFit="1" customWidth="1"/>
    <col min="6146" max="6147" width="10.875" style="73" bestFit="1" customWidth="1"/>
    <col min="6148" max="6148" width="6.25" style="73" bestFit="1" customWidth="1"/>
    <col min="6149" max="6149" width="8.875" style="73" bestFit="1" customWidth="1"/>
    <col min="6150" max="6150" width="13.875" style="73" bestFit="1" customWidth="1"/>
    <col min="6151" max="6151" width="13.25" style="73" bestFit="1" customWidth="1"/>
    <col min="6152" max="6152" width="16" style="73" bestFit="1" customWidth="1"/>
    <col min="6153" max="6153" width="11.625" style="73" bestFit="1" customWidth="1"/>
    <col min="6154" max="6154" width="16.875" style="73" customWidth="1"/>
    <col min="6155" max="6155" width="13.25" style="73" customWidth="1"/>
    <col min="6156" max="6156" width="18.375" style="73" bestFit="1" customWidth="1"/>
    <col min="6157" max="6157" width="15" style="73" bestFit="1" customWidth="1"/>
    <col min="6158" max="6158" width="14.75" style="73" bestFit="1" customWidth="1"/>
    <col min="6159" max="6159" width="14.625" style="73" bestFit="1" customWidth="1"/>
    <col min="6160" max="6160" width="13.75" style="73" bestFit="1" customWidth="1"/>
    <col min="6161" max="6161" width="14.25" style="73" bestFit="1" customWidth="1"/>
    <col min="6162" max="6162" width="15.125" style="73" customWidth="1"/>
    <col min="6163" max="6163" width="20.5" style="73" bestFit="1" customWidth="1"/>
    <col min="6164" max="6164" width="27.875" style="73" bestFit="1" customWidth="1"/>
    <col min="6165" max="6165" width="6.875" style="73" bestFit="1" customWidth="1"/>
    <col min="6166" max="6166" width="5" style="73" bestFit="1" customWidth="1"/>
    <col min="6167" max="6167" width="8" style="73" bestFit="1" customWidth="1"/>
    <col min="6168" max="6168" width="11.875" style="73" bestFit="1" customWidth="1"/>
    <col min="6169" max="6397" width="9" style="73"/>
    <col min="6398" max="6398" width="3.875" style="73" bestFit="1" customWidth="1"/>
    <col min="6399" max="6399" width="16" style="73" bestFit="1" customWidth="1"/>
    <col min="6400" max="6400" width="16.625" style="73" bestFit="1" customWidth="1"/>
    <col min="6401" max="6401" width="13.5" style="73" bestFit="1" customWidth="1"/>
    <col min="6402" max="6403" width="10.875" style="73" bestFit="1" customWidth="1"/>
    <col min="6404" max="6404" width="6.25" style="73" bestFit="1" customWidth="1"/>
    <col min="6405" max="6405" width="8.875" style="73" bestFit="1" customWidth="1"/>
    <col min="6406" max="6406" width="13.875" style="73" bestFit="1" customWidth="1"/>
    <col min="6407" max="6407" width="13.25" style="73" bestFit="1" customWidth="1"/>
    <col min="6408" max="6408" width="16" style="73" bestFit="1" customWidth="1"/>
    <col min="6409" max="6409" width="11.625" style="73" bestFit="1" customWidth="1"/>
    <col min="6410" max="6410" width="16.875" style="73" customWidth="1"/>
    <col min="6411" max="6411" width="13.25" style="73" customWidth="1"/>
    <col min="6412" max="6412" width="18.375" style="73" bestFit="1" customWidth="1"/>
    <col min="6413" max="6413" width="15" style="73" bestFit="1" customWidth="1"/>
    <col min="6414" max="6414" width="14.75" style="73" bestFit="1" customWidth="1"/>
    <col min="6415" max="6415" width="14.625" style="73" bestFit="1" customWidth="1"/>
    <col min="6416" max="6416" width="13.75" style="73" bestFit="1" customWidth="1"/>
    <col min="6417" max="6417" width="14.25" style="73" bestFit="1" customWidth="1"/>
    <col min="6418" max="6418" width="15.125" style="73" customWidth="1"/>
    <col min="6419" max="6419" width="20.5" style="73" bestFit="1" customWidth="1"/>
    <col min="6420" max="6420" width="27.875" style="73" bestFit="1" customWidth="1"/>
    <col min="6421" max="6421" width="6.875" style="73" bestFit="1" customWidth="1"/>
    <col min="6422" max="6422" width="5" style="73" bestFit="1" customWidth="1"/>
    <col min="6423" max="6423" width="8" style="73" bestFit="1" customWidth="1"/>
    <col min="6424" max="6424" width="11.875" style="73" bestFit="1" customWidth="1"/>
    <col min="6425" max="6653" width="9" style="73"/>
    <col min="6654" max="6654" width="3.875" style="73" bestFit="1" customWidth="1"/>
    <col min="6655" max="6655" width="16" style="73" bestFit="1" customWidth="1"/>
    <col min="6656" max="6656" width="16.625" style="73" bestFit="1" customWidth="1"/>
    <col min="6657" max="6657" width="13.5" style="73" bestFit="1" customWidth="1"/>
    <col min="6658" max="6659" width="10.875" style="73" bestFit="1" customWidth="1"/>
    <col min="6660" max="6660" width="6.25" style="73" bestFit="1" customWidth="1"/>
    <col min="6661" max="6661" width="8.875" style="73" bestFit="1" customWidth="1"/>
    <col min="6662" max="6662" width="13.875" style="73" bestFit="1" customWidth="1"/>
    <col min="6663" max="6663" width="13.25" style="73" bestFit="1" customWidth="1"/>
    <col min="6664" max="6664" width="16" style="73" bestFit="1" customWidth="1"/>
    <col min="6665" max="6665" width="11.625" style="73" bestFit="1" customWidth="1"/>
    <col min="6666" max="6666" width="16.875" style="73" customWidth="1"/>
    <col min="6667" max="6667" width="13.25" style="73" customWidth="1"/>
    <col min="6668" max="6668" width="18.375" style="73" bestFit="1" customWidth="1"/>
    <col min="6669" max="6669" width="15" style="73" bestFit="1" customWidth="1"/>
    <col min="6670" max="6670" width="14.75" style="73" bestFit="1" customWidth="1"/>
    <col min="6671" max="6671" width="14.625" style="73" bestFit="1" customWidth="1"/>
    <col min="6672" max="6672" width="13.75" style="73" bestFit="1" customWidth="1"/>
    <col min="6673" max="6673" width="14.25" style="73" bestFit="1" customWidth="1"/>
    <col min="6674" max="6674" width="15.125" style="73" customWidth="1"/>
    <col min="6675" max="6675" width="20.5" style="73" bestFit="1" customWidth="1"/>
    <col min="6676" max="6676" width="27.875" style="73" bestFit="1" customWidth="1"/>
    <col min="6677" max="6677" width="6.875" style="73" bestFit="1" customWidth="1"/>
    <col min="6678" max="6678" width="5" style="73" bestFit="1" customWidth="1"/>
    <col min="6679" max="6679" width="8" style="73" bestFit="1" customWidth="1"/>
    <col min="6680" max="6680" width="11.875" style="73" bestFit="1" customWidth="1"/>
    <col min="6681" max="6909" width="9" style="73"/>
    <col min="6910" max="6910" width="3.875" style="73" bestFit="1" customWidth="1"/>
    <col min="6911" max="6911" width="16" style="73" bestFit="1" customWidth="1"/>
    <col min="6912" max="6912" width="16.625" style="73" bestFit="1" customWidth="1"/>
    <col min="6913" max="6913" width="13.5" style="73" bestFit="1" customWidth="1"/>
    <col min="6914" max="6915" width="10.875" style="73" bestFit="1" customWidth="1"/>
    <col min="6916" max="6916" width="6.25" style="73" bestFit="1" customWidth="1"/>
    <col min="6917" max="6917" width="8.875" style="73" bestFit="1" customWidth="1"/>
    <col min="6918" max="6918" width="13.875" style="73" bestFit="1" customWidth="1"/>
    <col min="6919" max="6919" width="13.25" style="73" bestFit="1" customWidth="1"/>
    <col min="6920" max="6920" width="16" style="73" bestFit="1" customWidth="1"/>
    <col min="6921" max="6921" width="11.625" style="73" bestFit="1" customWidth="1"/>
    <col min="6922" max="6922" width="16.875" style="73" customWidth="1"/>
    <col min="6923" max="6923" width="13.25" style="73" customWidth="1"/>
    <col min="6924" max="6924" width="18.375" style="73" bestFit="1" customWidth="1"/>
    <col min="6925" max="6925" width="15" style="73" bestFit="1" customWidth="1"/>
    <col min="6926" max="6926" width="14.75" style="73" bestFit="1" customWidth="1"/>
    <col min="6927" max="6927" width="14.625" style="73" bestFit="1" customWidth="1"/>
    <col min="6928" max="6928" width="13.75" style="73" bestFit="1" customWidth="1"/>
    <col min="6929" max="6929" width="14.25" style="73" bestFit="1" customWidth="1"/>
    <col min="6930" max="6930" width="15.125" style="73" customWidth="1"/>
    <col min="6931" max="6931" width="20.5" style="73" bestFit="1" customWidth="1"/>
    <col min="6932" max="6932" width="27.875" style="73" bestFit="1" customWidth="1"/>
    <col min="6933" max="6933" width="6.875" style="73" bestFit="1" customWidth="1"/>
    <col min="6934" max="6934" width="5" style="73" bestFit="1" customWidth="1"/>
    <col min="6935" max="6935" width="8" style="73" bestFit="1" customWidth="1"/>
    <col min="6936" max="6936" width="11.875" style="73" bestFit="1" customWidth="1"/>
    <col min="6937" max="7165" width="9" style="73"/>
    <col min="7166" max="7166" width="3.875" style="73" bestFit="1" customWidth="1"/>
    <col min="7167" max="7167" width="16" style="73" bestFit="1" customWidth="1"/>
    <col min="7168" max="7168" width="16.625" style="73" bestFit="1" customWidth="1"/>
    <col min="7169" max="7169" width="13.5" style="73" bestFit="1" customWidth="1"/>
    <col min="7170" max="7171" width="10.875" style="73" bestFit="1" customWidth="1"/>
    <col min="7172" max="7172" width="6.25" style="73" bestFit="1" customWidth="1"/>
    <col min="7173" max="7173" width="8.875" style="73" bestFit="1" customWidth="1"/>
    <col min="7174" max="7174" width="13.875" style="73" bestFit="1" customWidth="1"/>
    <col min="7175" max="7175" width="13.25" style="73" bestFit="1" customWidth="1"/>
    <col min="7176" max="7176" width="16" style="73" bestFit="1" customWidth="1"/>
    <col min="7177" max="7177" width="11.625" style="73" bestFit="1" customWidth="1"/>
    <col min="7178" max="7178" width="16.875" style="73" customWidth="1"/>
    <col min="7179" max="7179" width="13.25" style="73" customWidth="1"/>
    <col min="7180" max="7180" width="18.375" style="73" bestFit="1" customWidth="1"/>
    <col min="7181" max="7181" width="15" style="73" bestFit="1" customWidth="1"/>
    <col min="7182" max="7182" width="14.75" style="73" bestFit="1" customWidth="1"/>
    <col min="7183" max="7183" width="14.625" style="73" bestFit="1" customWidth="1"/>
    <col min="7184" max="7184" width="13.75" style="73" bestFit="1" customWidth="1"/>
    <col min="7185" max="7185" width="14.25" style="73" bestFit="1" customWidth="1"/>
    <col min="7186" max="7186" width="15.125" style="73" customWidth="1"/>
    <col min="7187" max="7187" width="20.5" style="73" bestFit="1" customWidth="1"/>
    <col min="7188" max="7188" width="27.875" style="73" bestFit="1" customWidth="1"/>
    <col min="7189" max="7189" width="6.875" style="73" bestFit="1" customWidth="1"/>
    <col min="7190" max="7190" width="5" style="73" bestFit="1" customWidth="1"/>
    <col min="7191" max="7191" width="8" style="73" bestFit="1" customWidth="1"/>
    <col min="7192" max="7192" width="11.875" style="73" bestFit="1" customWidth="1"/>
    <col min="7193" max="7421" width="9" style="73"/>
    <col min="7422" max="7422" width="3.875" style="73" bestFit="1" customWidth="1"/>
    <col min="7423" max="7423" width="16" style="73" bestFit="1" customWidth="1"/>
    <col min="7424" max="7424" width="16.625" style="73" bestFit="1" customWidth="1"/>
    <col min="7425" max="7425" width="13.5" style="73" bestFit="1" customWidth="1"/>
    <col min="7426" max="7427" width="10.875" style="73" bestFit="1" customWidth="1"/>
    <col min="7428" max="7428" width="6.25" style="73" bestFit="1" customWidth="1"/>
    <col min="7429" max="7429" width="8.875" style="73" bestFit="1" customWidth="1"/>
    <col min="7430" max="7430" width="13.875" style="73" bestFit="1" customWidth="1"/>
    <col min="7431" max="7431" width="13.25" style="73" bestFit="1" customWidth="1"/>
    <col min="7432" max="7432" width="16" style="73" bestFit="1" customWidth="1"/>
    <col min="7433" max="7433" width="11.625" style="73" bestFit="1" customWidth="1"/>
    <col min="7434" max="7434" width="16.875" style="73" customWidth="1"/>
    <col min="7435" max="7435" width="13.25" style="73" customWidth="1"/>
    <col min="7436" max="7436" width="18.375" style="73" bestFit="1" customWidth="1"/>
    <col min="7437" max="7437" width="15" style="73" bestFit="1" customWidth="1"/>
    <col min="7438" max="7438" width="14.75" style="73" bestFit="1" customWidth="1"/>
    <col min="7439" max="7439" width="14.625" style="73" bestFit="1" customWidth="1"/>
    <col min="7440" max="7440" width="13.75" style="73" bestFit="1" customWidth="1"/>
    <col min="7441" max="7441" width="14.25" style="73" bestFit="1" customWidth="1"/>
    <col min="7442" max="7442" width="15.125" style="73" customWidth="1"/>
    <col min="7443" max="7443" width="20.5" style="73" bestFit="1" customWidth="1"/>
    <col min="7444" max="7444" width="27.875" style="73" bestFit="1" customWidth="1"/>
    <col min="7445" max="7445" width="6.875" style="73" bestFit="1" customWidth="1"/>
    <col min="7446" max="7446" width="5" style="73" bestFit="1" customWidth="1"/>
    <col min="7447" max="7447" width="8" style="73" bestFit="1" customWidth="1"/>
    <col min="7448" max="7448" width="11.875" style="73" bestFit="1" customWidth="1"/>
    <col min="7449" max="7677" width="9" style="73"/>
    <col min="7678" max="7678" width="3.875" style="73" bestFit="1" customWidth="1"/>
    <col min="7679" max="7679" width="16" style="73" bestFit="1" customWidth="1"/>
    <col min="7680" max="7680" width="16.625" style="73" bestFit="1" customWidth="1"/>
    <col min="7681" max="7681" width="13.5" style="73" bestFit="1" customWidth="1"/>
    <col min="7682" max="7683" width="10.875" style="73" bestFit="1" customWidth="1"/>
    <col min="7684" max="7684" width="6.25" style="73" bestFit="1" customWidth="1"/>
    <col min="7685" max="7685" width="8.875" style="73" bestFit="1" customWidth="1"/>
    <col min="7686" max="7686" width="13.875" style="73" bestFit="1" customWidth="1"/>
    <col min="7687" max="7687" width="13.25" style="73" bestFit="1" customWidth="1"/>
    <col min="7688" max="7688" width="16" style="73" bestFit="1" customWidth="1"/>
    <col min="7689" max="7689" width="11.625" style="73" bestFit="1" customWidth="1"/>
    <col min="7690" max="7690" width="16.875" style="73" customWidth="1"/>
    <col min="7691" max="7691" width="13.25" style="73" customWidth="1"/>
    <col min="7692" max="7692" width="18.375" style="73" bestFit="1" customWidth="1"/>
    <col min="7693" max="7693" width="15" style="73" bestFit="1" customWidth="1"/>
    <col min="7694" max="7694" width="14.75" style="73" bestFit="1" customWidth="1"/>
    <col min="7695" max="7695" width="14.625" style="73" bestFit="1" customWidth="1"/>
    <col min="7696" max="7696" width="13.75" style="73" bestFit="1" customWidth="1"/>
    <col min="7697" max="7697" width="14.25" style="73" bestFit="1" customWidth="1"/>
    <col min="7698" max="7698" width="15.125" style="73" customWidth="1"/>
    <col min="7699" max="7699" width="20.5" style="73" bestFit="1" customWidth="1"/>
    <col min="7700" max="7700" width="27.875" style="73" bestFit="1" customWidth="1"/>
    <col min="7701" max="7701" width="6.875" style="73" bestFit="1" customWidth="1"/>
    <col min="7702" max="7702" width="5" style="73" bestFit="1" customWidth="1"/>
    <col min="7703" max="7703" width="8" style="73" bestFit="1" customWidth="1"/>
    <col min="7704" max="7704" width="11.875" style="73" bestFit="1" customWidth="1"/>
    <col min="7705" max="7933" width="9" style="73"/>
    <col min="7934" max="7934" width="3.875" style="73" bestFit="1" customWidth="1"/>
    <col min="7935" max="7935" width="16" style="73" bestFit="1" customWidth="1"/>
    <col min="7936" max="7936" width="16.625" style="73" bestFit="1" customWidth="1"/>
    <col min="7937" max="7937" width="13.5" style="73" bestFit="1" customWidth="1"/>
    <col min="7938" max="7939" width="10.875" style="73" bestFit="1" customWidth="1"/>
    <col min="7940" max="7940" width="6.25" style="73" bestFit="1" customWidth="1"/>
    <col min="7941" max="7941" width="8.875" style="73" bestFit="1" customWidth="1"/>
    <col min="7942" max="7942" width="13.875" style="73" bestFit="1" customWidth="1"/>
    <col min="7943" max="7943" width="13.25" style="73" bestFit="1" customWidth="1"/>
    <col min="7944" max="7944" width="16" style="73" bestFit="1" customWidth="1"/>
    <col min="7945" max="7945" width="11.625" style="73" bestFit="1" customWidth="1"/>
    <col min="7946" max="7946" width="16.875" style="73" customWidth="1"/>
    <col min="7947" max="7947" width="13.25" style="73" customWidth="1"/>
    <col min="7948" max="7948" width="18.375" style="73" bestFit="1" customWidth="1"/>
    <col min="7949" max="7949" width="15" style="73" bestFit="1" customWidth="1"/>
    <col min="7950" max="7950" width="14.75" style="73" bestFit="1" customWidth="1"/>
    <col min="7951" max="7951" width="14.625" style="73" bestFit="1" customWidth="1"/>
    <col min="7952" max="7952" width="13.75" style="73" bestFit="1" customWidth="1"/>
    <col min="7953" max="7953" width="14.25" style="73" bestFit="1" customWidth="1"/>
    <col min="7954" max="7954" width="15.125" style="73" customWidth="1"/>
    <col min="7955" max="7955" width="20.5" style="73" bestFit="1" customWidth="1"/>
    <col min="7956" max="7956" width="27.875" style="73" bestFit="1" customWidth="1"/>
    <col min="7957" max="7957" width="6.875" style="73" bestFit="1" customWidth="1"/>
    <col min="7958" max="7958" width="5" style="73" bestFit="1" customWidth="1"/>
    <col min="7959" max="7959" width="8" style="73" bestFit="1" customWidth="1"/>
    <col min="7960" max="7960" width="11.875" style="73" bestFit="1" customWidth="1"/>
    <col min="7961" max="8189" width="9" style="73"/>
    <col min="8190" max="8190" width="3.875" style="73" bestFit="1" customWidth="1"/>
    <col min="8191" max="8191" width="16" style="73" bestFit="1" customWidth="1"/>
    <col min="8192" max="8192" width="16.625" style="73" bestFit="1" customWidth="1"/>
    <col min="8193" max="8193" width="13.5" style="73" bestFit="1" customWidth="1"/>
    <col min="8194" max="8195" width="10.875" style="73" bestFit="1" customWidth="1"/>
    <col min="8196" max="8196" width="6.25" style="73" bestFit="1" customWidth="1"/>
    <col min="8197" max="8197" width="8.875" style="73" bestFit="1" customWidth="1"/>
    <col min="8198" max="8198" width="13.875" style="73" bestFit="1" customWidth="1"/>
    <col min="8199" max="8199" width="13.25" style="73" bestFit="1" customWidth="1"/>
    <col min="8200" max="8200" width="16" style="73" bestFit="1" customWidth="1"/>
    <col min="8201" max="8201" width="11.625" style="73" bestFit="1" customWidth="1"/>
    <col min="8202" max="8202" width="16.875" style="73" customWidth="1"/>
    <col min="8203" max="8203" width="13.25" style="73" customWidth="1"/>
    <col min="8204" max="8204" width="18.375" style="73" bestFit="1" customWidth="1"/>
    <col min="8205" max="8205" width="15" style="73" bestFit="1" customWidth="1"/>
    <col min="8206" max="8206" width="14.75" style="73" bestFit="1" customWidth="1"/>
    <col min="8207" max="8207" width="14.625" style="73" bestFit="1" customWidth="1"/>
    <col min="8208" max="8208" width="13.75" style="73" bestFit="1" customWidth="1"/>
    <col min="8209" max="8209" width="14.25" style="73" bestFit="1" customWidth="1"/>
    <col min="8210" max="8210" width="15.125" style="73" customWidth="1"/>
    <col min="8211" max="8211" width="20.5" style="73" bestFit="1" customWidth="1"/>
    <col min="8212" max="8212" width="27.875" style="73" bestFit="1" customWidth="1"/>
    <col min="8213" max="8213" width="6.875" style="73" bestFit="1" customWidth="1"/>
    <col min="8214" max="8214" width="5" style="73" bestFit="1" customWidth="1"/>
    <col min="8215" max="8215" width="8" style="73" bestFit="1" customWidth="1"/>
    <col min="8216" max="8216" width="11.875" style="73" bestFit="1" customWidth="1"/>
    <col min="8217" max="8445" width="9" style="73"/>
    <col min="8446" max="8446" width="3.875" style="73" bestFit="1" customWidth="1"/>
    <col min="8447" max="8447" width="16" style="73" bestFit="1" customWidth="1"/>
    <col min="8448" max="8448" width="16.625" style="73" bestFit="1" customWidth="1"/>
    <col min="8449" max="8449" width="13.5" style="73" bestFit="1" customWidth="1"/>
    <col min="8450" max="8451" width="10.875" style="73" bestFit="1" customWidth="1"/>
    <col min="8452" max="8452" width="6.25" style="73" bestFit="1" customWidth="1"/>
    <col min="8453" max="8453" width="8.875" style="73" bestFit="1" customWidth="1"/>
    <col min="8454" max="8454" width="13.875" style="73" bestFit="1" customWidth="1"/>
    <col min="8455" max="8455" width="13.25" style="73" bestFit="1" customWidth="1"/>
    <col min="8456" max="8456" width="16" style="73" bestFit="1" customWidth="1"/>
    <col min="8457" max="8457" width="11.625" style="73" bestFit="1" customWidth="1"/>
    <col min="8458" max="8458" width="16.875" style="73" customWidth="1"/>
    <col min="8459" max="8459" width="13.25" style="73" customWidth="1"/>
    <col min="8460" max="8460" width="18.375" style="73" bestFit="1" customWidth="1"/>
    <col min="8461" max="8461" width="15" style="73" bestFit="1" customWidth="1"/>
    <col min="8462" max="8462" width="14.75" style="73" bestFit="1" customWidth="1"/>
    <col min="8463" max="8463" width="14.625" style="73" bestFit="1" customWidth="1"/>
    <col min="8464" max="8464" width="13.75" style="73" bestFit="1" customWidth="1"/>
    <col min="8465" max="8465" width="14.25" style="73" bestFit="1" customWidth="1"/>
    <col min="8466" max="8466" width="15.125" style="73" customWidth="1"/>
    <col min="8467" max="8467" width="20.5" style="73" bestFit="1" customWidth="1"/>
    <col min="8468" max="8468" width="27.875" style="73" bestFit="1" customWidth="1"/>
    <col min="8469" max="8469" width="6.875" style="73" bestFit="1" customWidth="1"/>
    <col min="8470" max="8470" width="5" style="73" bestFit="1" customWidth="1"/>
    <col min="8471" max="8471" width="8" style="73" bestFit="1" customWidth="1"/>
    <col min="8472" max="8472" width="11.875" style="73" bestFit="1" customWidth="1"/>
    <col min="8473" max="8701" width="9" style="73"/>
    <col min="8702" max="8702" width="3.875" style="73" bestFit="1" customWidth="1"/>
    <col min="8703" max="8703" width="16" style="73" bestFit="1" customWidth="1"/>
    <col min="8704" max="8704" width="16.625" style="73" bestFit="1" customWidth="1"/>
    <col min="8705" max="8705" width="13.5" style="73" bestFit="1" customWidth="1"/>
    <col min="8706" max="8707" width="10.875" style="73" bestFit="1" customWidth="1"/>
    <col min="8708" max="8708" width="6.25" style="73" bestFit="1" customWidth="1"/>
    <col min="8709" max="8709" width="8.875" style="73" bestFit="1" customWidth="1"/>
    <col min="8710" max="8710" width="13.875" style="73" bestFit="1" customWidth="1"/>
    <col min="8711" max="8711" width="13.25" style="73" bestFit="1" customWidth="1"/>
    <col min="8712" max="8712" width="16" style="73" bestFit="1" customWidth="1"/>
    <col min="8713" max="8713" width="11.625" style="73" bestFit="1" customWidth="1"/>
    <col min="8714" max="8714" width="16.875" style="73" customWidth="1"/>
    <col min="8715" max="8715" width="13.25" style="73" customWidth="1"/>
    <col min="8716" max="8716" width="18.375" style="73" bestFit="1" customWidth="1"/>
    <col min="8717" max="8717" width="15" style="73" bestFit="1" customWidth="1"/>
    <col min="8718" max="8718" width="14.75" style="73" bestFit="1" customWidth="1"/>
    <col min="8719" max="8719" width="14.625" style="73" bestFit="1" customWidth="1"/>
    <col min="8720" max="8720" width="13.75" style="73" bestFit="1" customWidth="1"/>
    <col min="8721" max="8721" width="14.25" style="73" bestFit="1" customWidth="1"/>
    <col min="8722" max="8722" width="15.125" style="73" customWidth="1"/>
    <col min="8723" max="8723" width="20.5" style="73" bestFit="1" customWidth="1"/>
    <col min="8724" max="8724" width="27.875" style="73" bestFit="1" customWidth="1"/>
    <col min="8725" max="8725" width="6.875" style="73" bestFit="1" customWidth="1"/>
    <col min="8726" max="8726" width="5" style="73" bestFit="1" customWidth="1"/>
    <col min="8727" max="8727" width="8" style="73" bestFit="1" customWidth="1"/>
    <col min="8728" max="8728" width="11.875" style="73" bestFit="1" customWidth="1"/>
    <col min="8729" max="8957" width="9" style="73"/>
    <col min="8958" max="8958" width="3.875" style="73" bestFit="1" customWidth="1"/>
    <col min="8959" max="8959" width="16" style="73" bestFit="1" customWidth="1"/>
    <col min="8960" max="8960" width="16.625" style="73" bestFit="1" customWidth="1"/>
    <col min="8961" max="8961" width="13.5" style="73" bestFit="1" customWidth="1"/>
    <col min="8962" max="8963" width="10.875" style="73" bestFit="1" customWidth="1"/>
    <col min="8964" max="8964" width="6.25" style="73" bestFit="1" customWidth="1"/>
    <col min="8965" max="8965" width="8.875" style="73" bestFit="1" customWidth="1"/>
    <col min="8966" max="8966" width="13.875" style="73" bestFit="1" customWidth="1"/>
    <col min="8967" max="8967" width="13.25" style="73" bestFit="1" customWidth="1"/>
    <col min="8968" max="8968" width="16" style="73" bestFit="1" customWidth="1"/>
    <col min="8969" max="8969" width="11.625" style="73" bestFit="1" customWidth="1"/>
    <col min="8970" max="8970" width="16.875" style="73" customWidth="1"/>
    <col min="8971" max="8971" width="13.25" style="73" customWidth="1"/>
    <col min="8972" max="8972" width="18.375" style="73" bestFit="1" customWidth="1"/>
    <col min="8973" max="8973" width="15" style="73" bestFit="1" customWidth="1"/>
    <col min="8974" max="8974" width="14.75" style="73" bestFit="1" customWidth="1"/>
    <col min="8975" max="8975" width="14.625" style="73" bestFit="1" customWidth="1"/>
    <col min="8976" max="8976" width="13.75" style="73" bestFit="1" customWidth="1"/>
    <col min="8977" max="8977" width="14.25" style="73" bestFit="1" customWidth="1"/>
    <col min="8978" max="8978" width="15.125" style="73" customWidth="1"/>
    <col min="8979" max="8979" width="20.5" style="73" bestFit="1" customWidth="1"/>
    <col min="8980" max="8980" width="27.875" style="73" bestFit="1" customWidth="1"/>
    <col min="8981" max="8981" width="6.875" style="73" bestFit="1" customWidth="1"/>
    <col min="8982" max="8982" width="5" style="73" bestFit="1" customWidth="1"/>
    <col min="8983" max="8983" width="8" style="73" bestFit="1" customWidth="1"/>
    <col min="8984" max="8984" width="11.875" style="73" bestFit="1" customWidth="1"/>
    <col min="8985" max="9213" width="9" style="73"/>
    <col min="9214" max="9214" width="3.875" style="73" bestFit="1" customWidth="1"/>
    <col min="9215" max="9215" width="16" style="73" bestFit="1" customWidth="1"/>
    <col min="9216" max="9216" width="16.625" style="73" bestFit="1" customWidth="1"/>
    <col min="9217" max="9217" width="13.5" style="73" bestFit="1" customWidth="1"/>
    <col min="9218" max="9219" width="10.875" style="73" bestFit="1" customWidth="1"/>
    <col min="9220" max="9220" width="6.25" style="73" bestFit="1" customWidth="1"/>
    <col min="9221" max="9221" width="8.875" style="73" bestFit="1" customWidth="1"/>
    <col min="9222" max="9222" width="13.875" style="73" bestFit="1" customWidth="1"/>
    <col min="9223" max="9223" width="13.25" style="73" bestFit="1" customWidth="1"/>
    <col min="9224" max="9224" width="16" style="73" bestFit="1" customWidth="1"/>
    <col min="9225" max="9225" width="11.625" style="73" bestFit="1" customWidth="1"/>
    <col min="9226" max="9226" width="16.875" style="73" customWidth="1"/>
    <col min="9227" max="9227" width="13.25" style="73" customWidth="1"/>
    <col min="9228" max="9228" width="18.375" style="73" bestFit="1" customWidth="1"/>
    <col min="9229" max="9229" width="15" style="73" bestFit="1" customWidth="1"/>
    <col min="9230" max="9230" width="14.75" style="73" bestFit="1" customWidth="1"/>
    <col min="9231" max="9231" width="14.625" style="73" bestFit="1" customWidth="1"/>
    <col min="9232" max="9232" width="13.75" style="73" bestFit="1" customWidth="1"/>
    <col min="9233" max="9233" width="14.25" style="73" bestFit="1" customWidth="1"/>
    <col min="9234" max="9234" width="15.125" style="73" customWidth="1"/>
    <col min="9235" max="9235" width="20.5" style="73" bestFit="1" customWidth="1"/>
    <col min="9236" max="9236" width="27.875" style="73" bestFit="1" customWidth="1"/>
    <col min="9237" max="9237" width="6.875" style="73" bestFit="1" customWidth="1"/>
    <col min="9238" max="9238" width="5" style="73" bestFit="1" customWidth="1"/>
    <col min="9239" max="9239" width="8" style="73" bestFit="1" customWidth="1"/>
    <col min="9240" max="9240" width="11.875" style="73" bestFit="1" customWidth="1"/>
    <col min="9241" max="9469" width="9" style="73"/>
    <col min="9470" max="9470" width="3.875" style="73" bestFit="1" customWidth="1"/>
    <col min="9471" max="9471" width="16" style="73" bestFit="1" customWidth="1"/>
    <col min="9472" max="9472" width="16.625" style="73" bestFit="1" customWidth="1"/>
    <col min="9473" max="9473" width="13.5" style="73" bestFit="1" customWidth="1"/>
    <col min="9474" max="9475" width="10.875" style="73" bestFit="1" customWidth="1"/>
    <col min="9476" max="9476" width="6.25" style="73" bestFit="1" customWidth="1"/>
    <col min="9477" max="9477" width="8.875" style="73" bestFit="1" customWidth="1"/>
    <col min="9478" max="9478" width="13.875" style="73" bestFit="1" customWidth="1"/>
    <col min="9479" max="9479" width="13.25" style="73" bestFit="1" customWidth="1"/>
    <col min="9480" max="9480" width="16" style="73" bestFit="1" customWidth="1"/>
    <col min="9481" max="9481" width="11.625" style="73" bestFit="1" customWidth="1"/>
    <col min="9482" max="9482" width="16.875" style="73" customWidth="1"/>
    <col min="9483" max="9483" width="13.25" style="73" customWidth="1"/>
    <col min="9484" max="9484" width="18.375" style="73" bestFit="1" customWidth="1"/>
    <col min="9485" max="9485" width="15" style="73" bestFit="1" customWidth="1"/>
    <col min="9486" max="9486" width="14.75" style="73" bestFit="1" customWidth="1"/>
    <col min="9487" max="9487" width="14.625" style="73" bestFit="1" customWidth="1"/>
    <col min="9488" max="9488" width="13.75" style="73" bestFit="1" customWidth="1"/>
    <col min="9489" max="9489" width="14.25" style="73" bestFit="1" customWidth="1"/>
    <col min="9490" max="9490" width="15.125" style="73" customWidth="1"/>
    <col min="9491" max="9491" width="20.5" style="73" bestFit="1" customWidth="1"/>
    <col min="9492" max="9492" width="27.875" style="73" bestFit="1" customWidth="1"/>
    <col min="9493" max="9493" width="6.875" style="73" bestFit="1" customWidth="1"/>
    <col min="9494" max="9494" width="5" style="73" bestFit="1" customWidth="1"/>
    <col min="9495" max="9495" width="8" style="73" bestFit="1" customWidth="1"/>
    <col min="9496" max="9496" width="11.875" style="73" bestFit="1" customWidth="1"/>
    <col min="9497" max="9725" width="9" style="73"/>
    <col min="9726" max="9726" width="3.875" style="73" bestFit="1" customWidth="1"/>
    <col min="9727" max="9727" width="16" style="73" bestFit="1" customWidth="1"/>
    <col min="9728" max="9728" width="16.625" style="73" bestFit="1" customWidth="1"/>
    <col min="9729" max="9729" width="13.5" style="73" bestFit="1" customWidth="1"/>
    <col min="9730" max="9731" width="10.875" style="73" bestFit="1" customWidth="1"/>
    <col min="9732" max="9732" width="6.25" style="73" bestFit="1" customWidth="1"/>
    <col min="9733" max="9733" width="8.875" style="73" bestFit="1" customWidth="1"/>
    <col min="9734" max="9734" width="13.875" style="73" bestFit="1" customWidth="1"/>
    <col min="9735" max="9735" width="13.25" style="73" bestFit="1" customWidth="1"/>
    <col min="9736" max="9736" width="16" style="73" bestFit="1" customWidth="1"/>
    <col min="9737" max="9737" width="11.625" style="73" bestFit="1" customWidth="1"/>
    <col min="9738" max="9738" width="16.875" style="73" customWidth="1"/>
    <col min="9739" max="9739" width="13.25" style="73" customWidth="1"/>
    <col min="9740" max="9740" width="18.375" style="73" bestFit="1" customWidth="1"/>
    <col min="9741" max="9741" width="15" style="73" bestFit="1" customWidth="1"/>
    <col min="9742" max="9742" width="14.75" style="73" bestFit="1" customWidth="1"/>
    <col min="9743" max="9743" width="14.625" style="73" bestFit="1" customWidth="1"/>
    <col min="9744" max="9744" width="13.75" style="73" bestFit="1" customWidth="1"/>
    <col min="9745" max="9745" width="14.25" style="73" bestFit="1" customWidth="1"/>
    <col min="9746" max="9746" width="15.125" style="73" customWidth="1"/>
    <col min="9747" max="9747" width="20.5" style="73" bestFit="1" customWidth="1"/>
    <col min="9748" max="9748" width="27.875" style="73" bestFit="1" customWidth="1"/>
    <col min="9749" max="9749" width="6.875" style="73" bestFit="1" customWidth="1"/>
    <col min="9750" max="9750" width="5" style="73" bestFit="1" customWidth="1"/>
    <col min="9751" max="9751" width="8" style="73" bestFit="1" customWidth="1"/>
    <col min="9752" max="9752" width="11.875" style="73" bestFit="1" customWidth="1"/>
    <col min="9753" max="9981" width="9" style="73"/>
    <col min="9982" max="9982" width="3.875" style="73" bestFit="1" customWidth="1"/>
    <col min="9983" max="9983" width="16" style="73" bestFit="1" customWidth="1"/>
    <col min="9984" max="9984" width="16.625" style="73" bestFit="1" customWidth="1"/>
    <col min="9985" max="9985" width="13.5" style="73" bestFit="1" customWidth="1"/>
    <col min="9986" max="9987" width="10.875" style="73" bestFit="1" customWidth="1"/>
    <col min="9988" max="9988" width="6.25" style="73" bestFit="1" customWidth="1"/>
    <col min="9989" max="9989" width="8.875" style="73" bestFit="1" customWidth="1"/>
    <col min="9990" max="9990" width="13.875" style="73" bestFit="1" customWidth="1"/>
    <col min="9991" max="9991" width="13.25" style="73" bestFit="1" customWidth="1"/>
    <col min="9992" max="9992" width="16" style="73" bestFit="1" customWidth="1"/>
    <col min="9993" max="9993" width="11.625" style="73" bestFit="1" customWidth="1"/>
    <col min="9994" max="9994" width="16.875" style="73" customWidth="1"/>
    <col min="9995" max="9995" width="13.25" style="73" customWidth="1"/>
    <col min="9996" max="9996" width="18.375" style="73" bestFit="1" customWidth="1"/>
    <col min="9997" max="9997" width="15" style="73" bestFit="1" customWidth="1"/>
    <col min="9998" max="9998" width="14.75" style="73" bestFit="1" customWidth="1"/>
    <col min="9999" max="9999" width="14.625" style="73" bestFit="1" customWidth="1"/>
    <col min="10000" max="10000" width="13.75" style="73" bestFit="1" customWidth="1"/>
    <col min="10001" max="10001" width="14.25" style="73" bestFit="1" customWidth="1"/>
    <col min="10002" max="10002" width="15.125" style="73" customWidth="1"/>
    <col min="10003" max="10003" width="20.5" style="73" bestFit="1" customWidth="1"/>
    <col min="10004" max="10004" width="27.875" style="73" bestFit="1" customWidth="1"/>
    <col min="10005" max="10005" width="6.875" style="73" bestFit="1" customWidth="1"/>
    <col min="10006" max="10006" width="5" style="73" bestFit="1" customWidth="1"/>
    <col min="10007" max="10007" width="8" style="73" bestFit="1" customWidth="1"/>
    <col min="10008" max="10008" width="11.875" style="73" bestFit="1" customWidth="1"/>
    <col min="10009" max="10237" width="9" style="73"/>
    <col min="10238" max="10238" width="3.875" style="73" bestFit="1" customWidth="1"/>
    <col min="10239" max="10239" width="16" style="73" bestFit="1" customWidth="1"/>
    <col min="10240" max="10240" width="16.625" style="73" bestFit="1" customWidth="1"/>
    <col min="10241" max="10241" width="13.5" style="73" bestFit="1" customWidth="1"/>
    <col min="10242" max="10243" width="10.875" style="73" bestFit="1" customWidth="1"/>
    <col min="10244" max="10244" width="6.25" style="73" bestFit="1" customWidth="1"/>
    <col min="10245" max="10245" width="8.875" style="73" bestFit="1" customWidth="1"/>
    <col min="10246" max="10246" width="13.875" style="73" bestFit="1" customWidth="1"/>
    <col min="10247" max="10247" width="13.25" style="73" bestFit="1" customWidth="1"/>
    <col min="10248" max="10248" width="16" style="73" bestFit="1" customWidth="1"/>
    <col min="10249" max="10249" width="11.625" style="73" bestFit="1" customWidth="1"/>
    <col min="10250" max="10250" width="16.875" style="73" customWidth="1"/>
    <col min="10251" max="10251" width="13.25" style="73" customWidth="1"/>
    <col min="10252" max="10252" width="18.375" style="73" bestFit="1" customWidth="1"/>
    <col min="10253" max="10253" width="15" style="73" bestFit="1" customWidth="1"/>
    <col min="10254" max="10254" width="14.75" style="73" bestFit="1" customWidth="1"/>
    <col min="10255" max="10255" width="14.625" style="73" bestFit="1" customWidth="1"/>
    <col min="10256" max="10256" width="13.75" style="73" bestFit="1" customWidth="1"/>
    <col min="10257" max="10257" width="14.25" style="73" bestFit="1" customWidth="1"/>
    <col min="10258" max="10258" width="15.125" style="73" customWidth="1"/>
    <col min="10259" max="10259" width="20.5" style="73" bestFit="1" customWidth="1"/>
    <col min="10260" max="10260" width="27.875" style="73" bestFit="1" customWidth="1"/>
    <col min="10261" max="10261" width="6.875" style="73" bestFit="1" customWidth="1"/>
    <col min="10262" max="10262" width="5" style="73" bestFit="1" customWidth="1"/>
    <col min="10263" max="10263" width="8" style="73" bestFit="1" customWidth="1"/>
    <col min="10264" max="10264" width="11.875" style="73" bestFit="1" customWidth="1"/>
    <col min="10265" max="10493" width="9" style="73"/>
    <col min="10494" max="10494" width="3.875" style="73" bestFit="1" customWidth="1"/>
    <col min="10495" max="10495" width="16" style="73" bestFit="1" customWidth="1"/>
    <col min="10496" max="10496" width="16.625" style="73" bestFit="1" customWidth="1"/>
    <col min="10497" max="10497" width="13.5" style="73" bestFit="1" customWidth="1"/>
    <col min="10498" max="10499" width="10.875" style="73" bestFit="1" customWidth="1"/>
    <col min="10500" max="10500" width="6.25" style="73" bestFit="1" customWidth="1"/>
    <col min="10501" max="10501" width="8.875" style="73" bestFit="1" customWidth="1"/>
    <col min="10502" max="10502" width="13.875" style="73" bestFit="1" customWidth="1"/>
    <col min="10503" max="10503" width="13.25" style="73" bestFit="1" customWidth="1"/>
    <col min="10504" max="10504" width="16" style="73" bestFit="1" customWidth="1"/>
    <col min="10505" max="10505" width="11.625" style="73" bestFit="1" customWidth="1"/>
    <col min="10506" max="10506" width="16.875" style="73" customWidth="1"/>
    <col min="10507" max="10507" width="13.25" style="73" customWidth="1"/>
    <col min="10508" max="10508" width="18.375" style="73" bestFit="1" customWidth="1"/>
    <col min="10509" max="10509" width="15" style="73" bestFit="1" customWidth="1"/>
    <col min="10510" max="10510" width="14.75" style="73" bestFit="1" customWidth="1"/>
    <col min="10511" max="10511" width="14.625" style="73" bestFit="1" customWidth="1"/>
    <col min="10512" max="10512" width="13.75" style="73" bestFit="1" customWidth="1"/>
    <col min="10513" max="10513" width="14.25" style="73" bestFit="1" customWidth="1"/>
    <col min="10514" max="10514" width="15.125" style="73" customWidth="1"/>
    <col min="10515" max="10515" width="20.5" style="73" bestFit="1" customWidth="1"/>
    <col min="10516" max="10516" width="27.875" style="73" bestFit="1" customWidth="1"/>
    <col min="10517" max="10517" width="6.875" style="73" bestFit="1" customWidth="1"/>
    <col min="10518" max="10518" width="5" style="73" bestFit="1" customWidth="1"/>
    <col min="10519" max="10519" width="8" style="73" bestFit="1" customWidth="1"/>
    <col min="10520" max="10520" width="11.875" style="73" bestFit="1" customWidth="1"/>
    <col min="10521" max="10749" width="9" style="73"/>
    <col min="10750" max="10750" width="3.875" style="73" bestFit="1" customWidth="1"/>
    <col min="10751" max="10751" width="16" style="73" bestFit="1" customWidth="1"/>
    <col min="10752" max="10752" width="16.625" style="73" bestFit="1" customWidth="1"/>
    <col min="10753" max="10753" width="13.5" style="73" bestFit="1" customWidth="1"/>
    <col min="10754" max="10755" width="10.875" style="73" bestFit="1" customWidth="1"/>
    <col min="10756" max="10756" width="6.25" style="73" bestFit="1" customWidth="1"/>
    <col min="10757" max="10757" width="8.875" style="73" bestFit="1" customWidth="1"/>
    <col min="10758" max="10758" width="13.875" style="73" bestFit="1" customWidth="1"/>
    <col min="10759" max="10759" width="13.25" style="73" bestFit="1" customWidth="1"/>
    <col min="10760" max="10760" width="16" style="73" bestFit="1" customWidth="1"/>
    <col min="10761" max="10761" width="11.625" style="73" bestFit="1" customWidth="1"/>
    <col min="10762" max="10762" width="16.875" style="73" customWidth="1"/>
    <col min="10763" max="10763" width="13.25" style="73" customWidth="1"/>
    <col min="10764" max="10764" width="18.375" style="73" bestFit="1" customWidth="1"/>
    <col min="10765" max="10765" width="15" style="73" bestFit="1" customWidth="1"/>
    <col min="10766" max="10766" width="14.75" style="73" bestFit="1" customWidth="1"/>
    <col min="10767" max="10767" width="14.625" style="73" bestFit="1" customWidth="1"/>
    <col min="10768" max="10768" width="13.75" style="73" bestFit="1" customWidth="1"/>
    <col min="10769" max="10769" width="14.25" style="73" bestFit="1" customWidth="1"/>
    <col min="10770" max="10770" width="15.125" style="73" customWidth="1"/>
    <col min="10771" max="10771" width="20.5" style="73" bestFit="1" customWidth="1"/>
    <col min="10772" max="10772" width="27.875" style="73" bestFit="1" customWidth="1"/>
    <col min="10773" max="10773" width="6.875" style="73" bestFit="1" customWidth="1"/>
    <col min="10774" max="10774" width="5" style="73" bestFit="1" customWidth="1"/>
    <col min="10775" max="10775" width="8" style="73" bestFit="1" customWidth="1"/>
    <col min="10776" max="10776" width="11.875" style="73" bestFit="1" customWidth="1"/>
    <col min="10777" max="11005" width="9" style="73"/>
    <col min="11006" max="11006" width="3.875" style="73" bestFit="1" customWidth="1"/>
    <col min="11007" max="11007" width="16" style="73" bestFit="1" customWidth="1"/>
    <col min="11008" max="11008" width="16.625" style="73" bestFit="1" customWidth="1"/>
    <col min="11009" max="11009" width="13.5" style="73" bestFit="1" customWidth="1"/>
    <col min="11010" max="11011" width="10.875" style="73" bestFit="1" customWidth="1"/>
    <col min="11012" max="11012" width="6.25" style="73" bestFit="1" customWidth="1"/>
    <col min="11013" max="11013" width="8.875" style="73" bestFit="1" customWidth="1"/>
    <col min="11014" max="11014" width="13.875" style="73" bestFit="1" customWidth="1"/>
    <col min="11015" max="11015" width="13.25" style="73" bestFit="1" customWidth="1"/>
    <col min="11016" max="11016" width="16" style="73" bestFit="1" customWidth="1"/>
    <col min="11017" max="11017" width="11.625" style="73" bestFit="1" customWidth="1"/>
    <col min="11018" max="11018" width="16.875" style="73" customWidth="1"/>
    <col min="11019" max="11019" width="13.25" style="73" customWidth="1"/>
    <col min="11020" max="11020" width="18.375" style="73" bestFit="1" customWidth="1"/>
    <col min="11021" max="11021" width="15" style="73" bestFit="1" customWidth="1"/>
    <col min="11022" max="11022" width="14.75" style="73" bestFit="1" customWidth="1"/>
    <col min="11023" max="11023" width="14.625" style="73" bestFit="1" customWidth="1"/>
    <col min="11024" max="11024" width="13.75" style="73" bestFit="1" customWidth="1"/>
    <col min="11025" max="11025" width="14.25" style="73" bestFit="1" customWidth="1"/>
    <col min="11026" max="11026" width="15.125" style="73" customWidth="1"/>
    <col min="11027" max="11027" width="20.5" style="73" bestFit="1" customWidth="1"/>
    <col min="11028" max="11028" width="27.875" style="73" bestFit="1" customWidth="1"/>
    <col min="11029" max="11029" width="6.875" style="73" bestFit="1" customWidth="1"/>
    <col min="11030" max="11030" width="5" style="73" bestFit="1" customWidth="1"/>
    <col min="11031" max="11031" width="8" style="73" bestFit="1" customWidth="1"/>
    <col min="11032" max="11032" width="11.875" style="73" bestFit="1" customWidth="1"/>
    <col min="11033" max="11261" width="9" style="73"/>
    <col min="11262" max="11262" width="3.875" style="73" bestFit="1" customWidth="1"/>
    <col min="11263" max="11263" width="16" style="73" bestFit="1" customWidth="1"/>
    <col min="11264" max="11264" width="16.625" style="73" bestFit="1" customWidth="1"/>
    <col min="11265" max="11265" width="13.5" style="73" bestFit="1" customWidth="1"/>
    <col min="11266" max="11267" width="10.875" style="73" bestFit="1" customWidth="1"/>
    <col min="11268" max="11268" width="6.25" style="73" bestFit="1" customWidth="1"/>
    <col min="11269" max="11269" width="8.875" style="73" bestFit="1" customWidth="1"/>
    <col min="11270" max="11270" width="13.875" style="73" bestFit="1" customWidth="1"/>
    <col min="11271" max="11271" width="13.25" style="73" bestFit="1" customWidth="1"/>
    <col min="11272" max="11272" width="16" style="73" bestFit="1" customWidth="1"/>
    <col min="11273" max="11273" width="11.625" style="73" bestFit="1" customWidth="1"/>
    <col min="11274" max="11274" width="16.875" style="73" customWidth="1"/>
    <col min="11275" max="11275" width="13.25" style="73" customWidth="1"/>
    <col min="11276" max="11276" width="18.375" style="73" bestFit="1" customWidth="1"/>
    <col min="11277" max="11277" width="15" style="73" bestFit="1" customWidth="1"/>
    <col min="11278" max="11278" width="14.75" style="73" bestFit="1" customWidth="1"/>
    <col min="11279" max="11279" width="14.625" style="73" bestFit="1" customWidth="1"/>
    <col min="11280" max="11280" width="13.75" style="73" bestFit="1" customWidth="1"/>
    <col min="11281" max="11281" width="14.25" style="73" bestFit="1" customWidth="1"/>
    <col min="11282" max="11282" width="15.125" style="73" customWidth="1"/>
    <col min="11283" max="11283" width="20.5" style="73" bestFit="1" customWidth="1"/>
    <col min="11284" max="11284" width="27.875" style="73" bestFit="1" customWidth="1"/>
    <col min="11285" max="11285" width="6.875" style="73" bestFit="1" customWidth="1"/>
    <col min="11286" max="11286" width="5" style="73" bestFit="1" customWidth="1"/>
    <col min="11287" max="11287" width="8" style="73" bestFit="1" customWidth="1"/>
    <col min="11288" max="11288" width="11.875" style="73" bestFit="1" customWidth="1"/>
    <col min="11289" max="11517" width="9" style="73"/>
    <col min="11518" max="11518" width="3.875" style="73" bestFit="1" customWidth="1"/>
    <col min="11519" max="11519" width="16" style="73" bestFit="1" customWidth="1"/>
    <col min="11520" max="11520" width="16.625" style="73" bestFit="1" customWidth="1"/>
    <col min="11521" max="11521" width="13.5" style="73" bestFit="1" customWidth="1"/>
    <col min="11522" max="11523" width="10.875" style="73" bestFit="1" customWidth="1"/>
    <col min="11524" max="11524" width="6.25" style="73" bestFit="1" customWidth="1"/>
    <col min="11525" max="11525" width="8.875" style="73" bestFit="1" customWidth="1"/>
    <col min="11526" max="11526" width="13.875" style="73" bestFit="1" customWidth="1"/>
    <col min="11527" max="11527" width="13.25" style="73" bestFit="1" customWidth="1"/>
    <col min="11528" max="11528" width="16" style="73" bestFit="1" customWidth="1"/>
    <col min="11529" max="11529" width="11.625" style="73" bestFit="1" customWidth="1"/>
    <col min="11530" max="11530" width="16.875" style="73" customWidth="1"/>
    <col min="11531" max="11531" width="13.25" style="73" customWidth="1"/>
    <col min="11532" max="11532" width="18.375" style="73" bestFit="1" customWidth="1"/>
    <col min="11533" max="11533" width="15" style="73" bestFit="1" customWidth="1"/>
    <col min="11534" max="11534" width="14.75" style="73" bestFit="1" customWidth="1"/>
    <col min="11535" max="11535" width="14.625" style="73" bestFit="1" customWidth="1"/>
    <col min="11536" max="11536" width="13.75" style="73" bestFit="1" customWidth="1"/>
    <col min="11537" max="11537" width="14.25" style="73" bestFit="1" customWidth="1"/>
    <col min="11538" max="11538" width="15.125" style="73" customWidth="1"/>
    <col min="11539" max="11539" width="20.5" style="73" bestFit="1" customWidth="1"/>
    <col min="11540" max="11540" width="27.875" style="73" bestFit="1" customWidth="1"/>
    <col min="11541" max="11541" width="6.875" style="73" bestFit="1" customWidth="1"/>
    <col min="11542" max="11542" width="5" style="73" bestFit="1" customWidth="1"/>
    <col min="11543" max="11543" width="8" style="73" bestFit="1" customWidth="1"/>
    <col min="11544" max="11544" width="11.875" style="73" bestFit="1" customWidth="1"/>
    <col min="11545" max="11773" width="9" style="73"/>
    <col min="11774" max="11774" width="3.875" style="73" bestFit="1" customWidth="1"/>
    <col min="11775" max="11775" width="16" style="73" bestFit="1" customWidth="1"/>
    <col min="11776" max="11776" width="16.625" style="73" bestFit="1" customWidth="1"/>
    <col min="11777" max="11777" width="13.5" style="73" bestFit="1" customWidth="1"/>
    <col min="11778" max="11779" width="10.875" style="73" bestFit="1" customWidth="1"/>
    <col min="11780" max="11780" width="6.25" style="73" bestFit="1" customWidth="1"/>
    <col min="11781" max="11781" width="8.875" style="73" bestFit="1" customWidth="1"/>
    <col min="11782" max="11782" width="13.875" style="73" bestFit="1" customWidth="1"/>
    <col min="11783" max="11783" width="13.25" style="73" bestFit="1" customWidth="1"/>
    <col min="11784" max="11784" width="16" style="73" bestFit="1" customWidth="1"/>
    <col min="11785" max="11785" width="11.625" style="73" bestFit="1" customWidth="1"/>
    <col min="11786" max="11786" width="16.875" style="73" customWidth="1"/>
    <col min="11787" max="11787" width="13.25" style="73" customWidth="1"/>
    <col min="11788" max="11788" width="18.375" style="73" bestFit="1" customWidth="1"/>
    <col min="11789" max="11789" width="15" style="73" bestFit="1" customWidth="1"/>
    <col min="11790" max="11790" width="14.75" style="73" bestFit="1" customWidth="1"/>
    <col min="11791" max="11791" width="14.625" style="73" bestFit="1" customWidth="1"/>
    <col min="11792" max="11792" width="13.75" style="73" bestFit="1" customWidth="1"/>
    <col min="11793" max="11793" width="14.25" style="73" bestFit="1" customWidth="1"/>
    <col min="11794" max="11794" width="15.125" style="73" customWidth="1"/>
    <col min="11795" max="11795" width="20.5" style="73" bestFit="1" customWidth="1"/>
    <col min="11796" max="11796" width="27.875" style="73" bestFit="1" customWidth="1"/>
    <col min="11797" max="11797" width="6.875" style="73" bestFit="1" customWidth="1"/>
    <col min="11798" max="11798" width="5" style="73" bestFit="1" customWidth="1"/>
    <col min="11799" max="11799" width="8" style="73" bestFit="1" customWidth="1"/>
    <col min="11800" max="11800" width="11.875" style="73" bestFit="1" customWidth="1"/>
    <col min="11801" max="12029" width="9" style="73"/>
    <col min="12030" max="12030" width="3.875" style="73" bestFit="1" customWidth="1"/>
    <col min="12031" max="12031" width="16" style="73" bestFit="1" customWidth="1"/>
    <col min="12032" max="12032" width="16.625" style="73" bestFit="1" customWidth="1"/>
    <col min="12033" max="12033" width="13.5" style="73" bestFit="1" customWidth="1"/>
    <col min="12034" max="12035" width="10.875" style="73" bestFit="1" customWidth="1"/>
    <col min="12036" max="12036" width="6.25" style="73" bestFit="1" customWidth="1"/>
    <col min="12037" max="12037" width="8.875" style="73" bestFit="1" customWidth="1"/>
    <col min="12038" max="12038" width="13.875" style="73" bestFit="1" customWidth="1"/>
    <col min="12039" max="12039" width="13.25" style="73" bestFit="1" customWidth="1"/>
    <col min="12040" max="12040" width="16" style="73" bestFit="1" customWidth="1"/>
    <col min="12041" max="12041" width="11.625" style="73" bestFit="1" customWidth="1"/>
    <col min="12042" max="12042" width="16.875" style="73" customWidth="1"/>
    <col min="12043" max="12043" width="13.25" style="73" customWidth="1"/>
    <col min="12044" max="12044" width="18.375" style="73" bestFit="1" customWidth="1"/>
    <col min="12045" max="12045" width="15" style="73" bestFit="1" customWidth="1"/>
    <col min="12046" max="12046" width="14.75" style="73" bestFit="1" customWidth="1"/>
    <col min="12047" max="12047" width="14.625" style="73" bestFit="1" customWidth="1"/>
    <col min="12048" max="12048" width="13.75" style="73" bestFit="1" customWidth="1"/>
    <col min="12049" max="12049" width="14.25" style="73" bestFit="1" customWidth="1"/>
    <col min="12050" max="12050" width="15.125" style="73" customWidth="1"/>
    <col min="12051" max="12051" width="20.5" style="73" bestFit="1" customWidth="1"/>
    <col min="12052" max="12052" width="27.875" style="73" bestFit="1" customWidth="1"/>
    <col min="12053" max="12053" width="6.875" style="73" bestFit="1" customWidth="1"/>
    <col min="12054" max="12054" width="5" style="73" bestFit="1" customWidth="1"/>
    <col min="12055" max="12055" width="8" style="73" bestFit="1" customWidth="1"/>
    <col min="12056" max="12056" width="11.875" style="73" bestFit="1" customWidth="1"/>
    <col min="12057" max="12285" width="9" style="73"/>
    <col min="12286" max="12286" width="3.875" style="73" bestFit="1" customWidth="1"/>
    <col min="12287" max="12287" width="16" style="73" bestFit="1" customWidth="1"/>
    <col min="12288" max="12288" width="16.625" style="73" bestFit="1" customWidth="1"/>
    <col min="12289" max="12289" width="13.5" style="73" bestFit="1" customWidth="1"/>
    <col min="12290" max="12291" width="10.875" style="73" bestFit="1" customWidth="1"/>
    <col min="12292" max="12292" width="6.25" style="73" bestFit="1" customWidth="1"/>
    <col min="12293" max="12293" width="8.875" style="73" bestFit="1" customWidth="1"/>
    <col min="12294" max="12294" width="13.875" style="73" bestFit="1" customWidth="1"/>
    <col min="12295" max="12295" width="13.25" style="73" bestFit="1" customWidth="1"/>
    <col min="12296" max="12296" width="16" style="73" bestFit="1" customWidth="1"/>
    <col min="12297" max="12297" width="11.625" style="73" bestFit="1" customWidth="1"/>
    <col min="12298" max="12298" width="16.875" style="73" customWidth="1"/>
    <col min="12299" max="12299" width="13.25" style="73" customWidth="1"/>
    <col min="12300" max="12300" width="18.375" style="73" bestFit="1" customWidth="1"/>
    <col min="12301" max="12301" width="15" style="73" bestFit="1" customWidth="1"/>
    <col min="12302" max="12302" width="14.75" style="73" bestFit="1" customWidth="1"/>
    <col min="12303" max="12303" width="14.625" style="73" bestFit="1" customWidth="1"/>
    <col min="12304" max="12304" width="13.75" style="73" bestFit="1" customWidth="1"/>
    <col min="12305" max="12305" width="14.25" style="73" bestFit="1" customWidth="1"/>
    <col min="12306" max="12306" width="15.125" style="73" customWidth="1"/>
    <col min="12307" max="12307" width="20.5" style="73" bestFit="1" customWidth="1"/>
    <col min="12308" max="12308" width="27.875" style="73" bestFit="1" customWidth="1"/>
    <col min="12309" max="12309" width="6.875" style="73" bestFit="1" customWidth="1"/>
    <col min="12310" max="12310" width="5" style="73" bestFit="1" customWidth="1"/>
    <col min="12311" max="12311" width="8" style="73" bestFit="1" customWidth="1"/>
    <col min="12312" max="12312" width="11.875" style="73" bestFit="1" customWidth="1"/>
    <col min="12313" max="12541" width="9" style="73"/>
    <col min="12542" max="12542" width="3.875" style="73" bestFit="1" customWidth="1"/>
    <col min="12543" max="12543" width="16" style="73" bestFit="1" customWidth="1"/>
    <col min="12544" max="12544" width="16.625" style="73" bestFit="1" customWidth="1"/>
    <col min="12545" max="12545" width="13.5" style="73" bestFit="1" customWidth="1"/>
    <col min="12546" max="12547" width="10.875" style="73" bestFit="1" customWidth="1"/>
    <col min="12548" max="12548" width="6.25" style="73" bestFit="1" customWidth="1"/>
    <col min="12549" max="12549" width="8.875" style="73" bestFit="1" customWidth="1"/>
    <col min="12550" max="12550" width="13.875" style="73" bestFit="1" customWidth="1"/>
    <col min="12551" max="12551" width="13.25" style="73" bestFit="1" customWidth="1"/>
    <col min="12552" max="12552" width="16" style="73" bestFit="1" customWidth="1"/>
    <col min="12553" max="12553" width="11.625" style="73" bestFit="1" customWidth="1"/>
    <col min="12554" max="12554" width="16.875" style="73" customWidth="1"/>
    <col min="12555" max="12555" width="13.25" style="73" customWidth="1"/>
    <col min="12556" max="12556" width="18.375" style="73" bestFit="1" customWidth="1"/>
    <col min="12557" max="12557" width="15" style="73" bestFit="1" customWidth="1"/>
    <col min="12558" max="12558" width="14.75" style="73" bestFit="1" customWidth="1"/>
    <col min="12559" max="12559" width="14.625" style="73" bestFit="1" customWidth="1"/>
    <col min="12560" max="12560" width="13.75" style="73" bestFit="1" customWidth="1"/>
    <col min="12561" max="12561" width="14.25" style="73" bestFit="1" customWidth="1"/>
    <col min="12562" max="12562" width="15.125" style="73" customWidth="1"/>
    <col min="12563" max="12563" width="20.5" style="73" bestFit="1" customWidth="1"/>
    <col min="12564" max="12564" width="27.875" style="73" bestFit="1" customWidth="1"/>
    <col min="12565" max="12565" width="6.875" style="73" bestFit="1" customWidth="1"/>
    <col min="12566" max="12566" width="5" style="73" bestFit="1" customWidth="1"/>
    <col min="12567" max="12567" width="8" style="73" bestFit="1" customWidth="1"/>
    <col min="12568" max="12568" width="11.875" style="73" bestFit="1" customWidth="1"/>
    <col min="12569" max="12797" width="9" style="73"/>
    <col min="12798" max="12798" width="3.875" style="73" bestFit="1" customWidth="1"/>
    <col min="12799" max="12799" width="16" style="73" bestFit="1" customWidth="1"/>
    <col min="12800" max="12800" width="16.625" style="73" bestFit="1" customWidth="1"/>
    <col min="12801" max="12801" width="13.5" style="73" bestFit="1" customWidth="1"/>
    <col min="12802" max="12803" width="10.875" style="73" bestFit="1" customWidth="1"/>
    <col min="12804" max="12804" width="6.25" style="73" bestFit="1" customWidth="1"/>
    <col min="12805" max="12805" width="8.875" style="73" bestFit="1" customWidth="1"/>
    <col min="12806" max="12806" width="13.875" style="73" bestFit="1" customWidth="1"/>
    <col min="12807" max="12807" width="13.25" style="73" bestFit="1" customWidth="1"/>
    <col min="12808" max="12808" width="16" style="73" bestFit="1" customWidth="1"/>
    <col min="12809" max="12809" width="11.625" style="73" bestFit="1" customWidth="1"/>
    <col min="12810" max="12810" width="16.875" style="73" customWidth="1"/>
    <col min="12811" max="12811" width="13.25" style="73" customWidth="1"/>
    <col min="12812" max="12812" width="18.375" style="73" bestFit="1" customWidth="1"/>
    <col min="12813" max="12813" width="15" style="73" bestFit="1" customWidth="1"/>
    <col min="12814" max="12814" width="14.75" style="73" bestFit="1" customWidth="1"/>
    <col min="12815" max="12815" width="14.625" style="73" bestFit="1" customWidth="1"/>
    <col min="12816" max="12816" width="13.75" style="73" bestFit="1" customWidth="1"/>
    <col min="12817" max="12817" width="14.25" style="73" bestFit="1" customWidth="1"/>
    <col min="12818" max="12818" width="15.125" style="73" customWidth="1"/>
    <col min="12819" max="12819" width="20.5" style="73" bestFit="1" customWidth="1"/>
    <col min="12820" max="12820" width="27.875" style="73" bestFit="1" customWidth="1"/>
    <col min="12821" max="12821" width="6.875" style="73" bestFit="1" customWidth="1"/>
    <col min="12822" max="12822" width="5" style="73" bestFit="1" customWidth="1"/>
    <col min="12823" max="12823" width="8" style="73" bestFit="1" customWidth="1"/>
    <col min="12824" max="12824" width="11.875" style="73" bestFit="1" customWidth="1"/>
    <col min="12825" max="13053" width="9" style="73"/>
    <col min="13054" max="13054" width="3.875" style="73" bestFit="1" customWidth="1"/>
    <col min="13055" max="13055" width="16" style="73" bestFit="1" customWidth="1"/>
    <col min="13056" max="13056" width="16.625" style="73" bestFit="1" customWidth="1"/>
    <col min="13057" max="13057" width="13.5" style="73" bestFit="1" customWidth="1"/>
    <col min="13058" max="13059" width="10.875" style="73" bestFit="1" customWidth="1"/>
    <col min="13060" max="13060" width="6.25" style="73" bestFit="1" customWidth="1"/>
    <col min="13061" max="13061" width="8.875" style="73" bestFit="1" customWidth="1"/>
    <col min="13062" max="13062" width="13.875" style="73" bestFit="1" customWidth="1"/>
    <col min="13063" max="13063" width="13.25" style="73" bestFit="1" customWidth="1"/>
    <col min="13064" max="13064" width="16" style="73" bestFit="1" customWidth="1"/>
    <col min="13065" max="13065" width="11.625" style="73" bestFit="1" customWidth="1"/>
    <col min="13066" max="13066" width="16.875" style="73" customWidth="1"/>
    <col min="13067" max="13067" width="13.25" style="73" customWidth="1"/>
    <col min="13068" max="13068" width="18.375" style="73" bestFit="1" customWidth="1"/>
    <col min="13069" max="13069" width="15" style="73" bestFit="1" customWidth="1"/>
    <col min="13070" max="13070" width="14.75" style="73" bestFit="1" customWidth="1"/>
    <col min="13071" max="13071" width="14.625" style="73" bestFit="1" customWidth="1"/>
    <col min="13072" max="13072" width="13.75" style="73" bestFit="1" customWidth="1"/>
    <col min="13073" max="13073" width="14.25" style="73" bestFit="1" customWidth="1"/>
    <col min="13074" max="13074" width="15.125" style="73" customWidth="1"/>
    <col min="13075" max="13075" width="20.5" style="73" bestFit="1" customWidth="1"/>
    <col min="13076" max="13076" width="27.875" style="73" bestFit="1" customWidth="1"/>
    <col min="13077" max="13077" width="6.875" style="73" bestFit="1" customWidth="1"/>
    <col min="13078" max="13078" width="5" style="73" bestFit="1" customWidth="1"/>
    <col min="13079" max="13079" width="8" style="73" bestFit="1" customWidth="1"/>
    <col min="13080" max="13080" width="11.875" style="73" bestFit="1" customWidth="1"/>
    <col min="13081" max="13309" width="9" style="73"/>
    <col min="13310" max="13310" width="3.875" style="73" bestFit="1" customWidth="1"/>
    <col min="13311" max="13311" width="16" style="73" bestFit="1" customWidth="1"/>
    <col min="13312" max="13312" width="16.625" style="73" bestFit="1" customWidth="1"/>
    <col min="13313" max="13313" width="13.5" style="73" bestFit="1" customWidth="1"/>
    <col min="13314" max="13315" width="10.875" style="73" bestFit="1" customWidth="1"/>
    <col min="13316" max="13316" width="6.25" style="73" bestFit="1" customWidth="1"/>
    <col min="13317" max="13317" width="8.875" style="73" bestFit="1" customWidth="1"/>
    <col min="13318" max="13318" width="13.875" style="73" bestFit="1" customWidth="1"/>
    <col min="13319" max="13319" width="13.25" style="73" bestFit="1" customWidth="1"/>
    <col min="13320" max="13320" width="16" style="73" bestFit="1" customWidth="1"/>
    <col min="13321" max="13321" width="11.625" style="73" bestFit="1" customWidth="1"/>
    <col min="13322" max="13322" width="16.875" style="73" customWidth="1"/>
    <col min="13323" max="13323" width="13.25" style="73" customWidth="1"/>
    <col min="13324" max="13324" width="18.375" style="73" bestFit="1" customWidth="1"/>
    <col min="13325" max="13325" width="15" style="73" bestFit="1" customWidth="1"/>
    <col min="13326" max="13326" width="14.75" style="73" bestFit="1" customWidth="1"/>
    <col min="13327" max="13327" width="14.625" style="73" bestFit="1" customWidth="1"/>
    <col min="13328" max="13328" width="13.75" style="73" bestFit="1" customWidth="1"/>
    <col min="13329" max="13329" width="14.25" style="73" bestFit="1" customWidth="1"/>
    <col min="13330" max="13330" width="15.125" style="73" customWidth="1"/>
    <col min="13331" max="13331" width="20.5" style="73" bestFit="1" customWidth="1"/>
    <col min="13332" max="13332" width="27.875" style="73" bestFit="1" customWidth="1"/>
    <col min="13333" max="13333" width="6.875" style="73" bestFit="1" customWidth="1"/>
    <col min="13334" max="13334" width="5" style="73" bestFit="1" customWidth="1"/>
    <col min="13335" max="13335" width="8" style="73" bestFit="1" customWidth="1"/>
    <col min="13336" max="13336" width="11.875" style="73" bestFit="1" customWidth="1"/>
    <col min="13337" max="13565" width="9" style="73"/>
    <col min="13566" max="13566" width="3.875" style="73" bestFit="1" customWidth="1"/>
    <col min="13567" max="13567" width="16" style="73" bestFit="1" customWidth="1"/>
    <col min="13568" max="13568" width="16.625" style="73" bestFit="1" customWidth="1"/>
    <col min="13569" max="13569" width="13.5" style="73" bestFit="1" customWidth="1"/>
    <col min="13570" max="13571" width="10.875" style="73" bestFit="1" customWidth="1"/>
    <col min="13572" max="13572" width="6.25" style="73" bestFit="1" customWidth="1"/>
    <col min="13573" max="13573" width="8.875" style="73" bestFit="1" customWidth="1"/>
    <col min="13574" max="13574" width="13.875" style="73" bestFit="1" customWidth="1"/>
    <col min="13575" max="13575" width="13.25" style="73" bestFit="1" customWidth="1"/>
    <col min="13576" max="13576" width="16" style="73" bestFit="1" customWidth="1"/>
    <col min="13577" max="13577" width="11.625" style="73" bestFit="1" customWidth="1"/>
    <col min="13578" max="13578" width="16.875" style="73" customWidth="1"/>
    <col min="13579" max="13579" width="13.25" style="73" customWidth="1"/>
    <col min="13580" max="13580" width="18.375" style="73" bestFit="1" customWidth="1"/>
    <col min="13581" max="13581" width="15" style="73" bestFit="1" customWidth="1"/>
    <col min="13582" max="13582" width="14.75" style="73" bestFit="1" customWidth="1"/>
    <col min="13583" max="13583" width="14.625" style="73" bestFit="1" customWidth="1"/>
    <col min="13584" max="13584" width="13.75" style="73" bestFit="1" customWidth="1"/>
    <col min="13585" max="13585" width="14.25" style="73" bestFit="1" customWidth="1"/>
    <col min="13586" max="13586" width="15.125" style="73" customWidth="1"/>
    <col min="13587" max="13587" width="20.5" style="73" bestFit="1" customWidth="1"/>
    <col min="13588" max="13588" width="27.875" style="73" bestFit="1" customWidth="1"/>
    <col min="13589" max="13589" width="6.875" style="73" bestFit="1" customWidth="1"/>
    <col min="13590" max="13590" width="5" style="73" bestFit="1" customWidth="1"/>
    <col min="13591" max="13591" width="8" style="73" bestFit="1" customWidth="1"/>
    <col min="13592" max="13592" width="11.875" style="73" bestFit="1" customWidth="1"/>
    <col min="13593" max="13821" width="9" style="73"/>
    <col min="13822" max="13822" width="3.875" style="73" bestFit="1" customWidth="1"/>
    <col min="13823" max="13823" width="16" style="73" bestFit="1" customWidth="1"/>
    <col min="13824" max="13824" width="16.625" style="73" bestFit="1" customWidth="1"/>
    <col min="13825" max="13825" width="13.5" style="73" bestFit="1" customWidth="1"/>
    <col min="13826" max="13827" width="10.875" style="73" bestFit="1" customWidth="1"/>
    <col min="13828" max="13828" width="6.25" style="73" bestFit="1" customWidth="1"/>
    <col min="13829" max="13829" width="8.875" style="73" bestFit="1" customWidth="1"/>
    <col min="13830" max="13830" width="13.875" style="73" bestFit="1" customWidth="1"/>
    <col min="13831" max="13831" width="13.25" style="73" bestFit="1" customWidth="1"/>
    <col min="13832" max="13832" width="16" style="73" bestFit="1" customWidth="1"/>
    <col min="13833" max="13833" width="11.625" style="73" bestFit="1" customWidth="1"/>
    <col min="13834" max="13834" width="16.875" style="73" customWidth="1"/>
    <col min="13835" max="13835" width="13.25" style="73" customWidth="1"/>
    <col min="13836" max="13836" width="18.375" style="73" bestFit="1" customWidth="1"/>
    <col min="13837" max="13837" width="15" style="73" bestFit="1" customWidth="1"/>
    <col min="13838" max="13838" width="14.75" style="73" bestFit="1" customWidth="1"/>
    <col min="13839" max="13839" width="14.625" style="73" bestFit="1" customWidth="1"/>
    <col min="13840" max="13840" width="13.75" style="73" bestFit="1" customWidth="1"/>
    <col min="13841" max="13841" width="14.25" style="73" bestFit="1" customWidth="1"/>
    <col min="13842" max="13842" width="15.125" style="73" customWidth="1"/>
    <col min="13843" max="13843" width="20.5" style="73" bestFit="1" customWidth="1"/>
    <col min="13844" max="13844" width="27.875" style="73" bestFit="1" customWidth="1"/>
    <col min="13845" max="13845" width="6.875" style="73" bestFit="1" customWidth="1"/>
    <col min="13846" max="13846" width="5" style="73" bestFit="1" customWidth="1"/>
    <col min="13847" max="13847" width="8" style="73" bestFit="1" customWidth="1"/>
    <col min="13848" max="13848" width="11.875" style="73" bestFit="1" customWidth="1"/>
    <col min="13849" max="14077" width="9" style="73"/>
    <col min="14078" max="14078" width="3.875" style="73" bestFit="1" customWidth="1"/>
    <col min="14079" max="14079" width="16" style="73" bestFit="1" customWidth="1"/>
    <col min="14080" max="14080" width="16.625" style="73" bestFit="1" customWidth="1"/>
    <col min="14081" max="14081" width="13.5" style="73" bestFit="1" customWidth="1"/>
    <col min="14082" max="14083" width="10.875" style="73" bestFit="1" customWidth="1"/>
    <col min="14084" max="14084" width="6.25" style="73" bestFit="1" customWidth="1"/>
    <col min="14085" max="14085" width="8.875" style="73" bestFit="1" customWidth="1"/>
    <col min="14086" max="14086" width="13.875" style="73" bestFit="1" customWidth="1"/>
    <col min="14087" max="14087" width="13.25" style="73" bestFit="1" customWidth="1"/>
    <col min="14088" max="14088" width="16" style="73" bestFit="1" customWidth="1"/>
    <col min="14089" max="14089" width="11.625" style="73" bestFit="1" customWidth="1"/>
    <col min="14090" max="14090" width="16.875" style="73" customWidth="1"/>
    <col min="14091" max="14091" width="13.25" style="73" customWidth="1"/>
    <col min="14092" max="14092" width="18.375" style="73" bestFit="1" customWidth="1"/>
    <col min="14093" max="14093" width="15" style="73" bestFit="1" customWidth="1"/>
    <col min="14094" max="14094" width="14.75" style="73" bestFit="1" customWidth="1"/>
    <col min="14095" max="14095" width="14.625" style="73" bestFit="1" customWidth="1"/>
    <col min="14096" max="14096" width="13.75" style="73" bestFit="1" customWidth="1"/>
    <col min="14097" max="14097" width="14.25" style="73" bestFit="1" customWidth="1"/>
    <col min="14098" max="14098" width="15.125" style="73" customWidth="1"/>
    <col min="14099" max="14099" width="20.5" style="73" bestFit="1" customWidth="1"/>
    <col min="14100" max="14100" width="27.875" style="73" bestFit="1" customWidth="1"/>
    <col min="14101" max="14101" width="6.875" style="73" bestFit="1" customWidth="1"/>
    <col min="14102" max="14102" width="5" style="73" bestFit="1" customWidth="1"/>
    <col min="14103" max="14103" width="8" style="73" bestFit="1" customWidth="1"/>
    <col min="14104" max="14104" width="11.875" style="73" bestFit="1" customWidth="1"/>
    <col min="14105" max="14333" width="9" style="73"/>
    <col min="14334" max="14334" width="3.875" style="73" bestFit="1" customWidth="1"/>
    <col min="14335" max="14335" width="16" style="73" bestFit="1" customWidth="1"/>
    <col min="14336" max="14336" width="16.625" style="73" bestFit="1" customWidth="1"/>
    <col min="14337" max="14337" width="13.5" style="73" bestFit="1" customWidth="1"/>
    <col min="14338" max="14339" width="10.875" style="73" bestFit="1" customWidth="1"/>
    <col min="14340" max="14340" width="6.25" style="73" bestFit="1" customWidth="1"/>
    <col min="14341" max="14341" width="8.875" style="73" bestFit="1" customWidth="1"/>
    <col min="14342" max="14342" width="13.875" style="73" bestFit="1" customWidth="1"/>
    <col min="14343" max="14343" width="13.25" style="73" bestFit="1" customWidth="1"/>
    <col min="14344" max="14344" width="16" style="73" bestFit="1" customWidth="1"/>
    <col min="14345" max="14345" width="11.625" style="73" bestFit="1" customWidth="1"/>
    <col min="14346" max="14346" width="16.875" style="73" customWidth="1"/>
    <col min="14347" max="14347" width="13.25" style="73" customWidth="1"/>
    <col min="14348" max="14348" width="18.375" style="73" bestFit="1" customWidth="1"/>
    <col min="14349" max="14349" width="15" style="73" bestFit="1" customWidth="1"/>
    <col min="14350" max="14350" width="14.75" style="73" bestFit="1" customWidth="1"/>
    <col min="14351" max="14351" width="14.625" style="73" bestFit="1" customWidth="1"/>
    <col min="14352" max="14352" width="13.75" style="73" bestFit="1" customWidth="1"/>
    <col min="14353" max="14353" width="14.25" style="73" bestFit="1" customWidth="1"/>
    <col min="14354" max="14354" width="15.125" style="73" customWidth="1"/>
    <col min="14355" max="14355" width="20.5" style="73" bestFit="1" customWidth="1"/>
    <col min="14356" max="14356" width="27.875" style="73" bestFit="1" customWidth="1"/>
    <col min="14357" max="14357" width="6.875" style="73" bestFit="1" customWidth="1"/>
    <col min="14358" max="14358" width="5" style="73" bestFit="1" customWidth="1"/>
    <col min="14359" max="14359" width="8" style="73" bestFit="1" customWidth="1"/>
    <col min="14360" max="14360" width="11.875" style="73" bestFit="1" customWidth="1"/>
    <col min="14361" max="14589" width="9" style="73"/>
    <col min="14590" max="14590" width="3.875" style="73" bestFit="1" customWidth="1"/>
    <col min="14591" max="14591" width="16" style="73" bestFit="1" customWidth="1"/>
    <col min="14592" max="14592" width="16.625" style="73" bestFit="1" customWidth="1"/>
    <col min="14593" max="14593" width="13.5" style="73" bestFit="1" customWidth="1"/>
    <col min="14594" max="14595" width="10.875" style="73" bestFit="1" customWidth="1"/>
    <col min="14596" max="14596" width="6.25" style="73" bestFit="1" customWidth="1"/>
    <col min="14597" max="14597" width="8.875" style="73" bestFit="1" customWidth="1"/>
    <col min="14598" max="14598" width="13.875" style="73" bestFit="1" customWidth="1"/>
    <col min="14599" max="14599" width="13.25" style="73" bestFit="1" customWidth="1"/>
    <col min="14600" max="14600" width="16" style="73" bestFit="1" customWidth="1"/>
    <col min="14601" max="14601" width="11.625" style="73" bestFit="1" customWidth="1"/>
    <col min="14602" max="14602" width="16.875" style="73" customWidth="1"/>
    <col min="14603" max="14603" width="13.25" style="73" customWidth="1"/>
    <col min="14604" max="14604" width="18.375" style="73" bestFit="1" customWidth="1"/>
    <col min="14605" max="14605" width="15" style="73" bestFit="1" customWidth="1"/>
    <col min="14606" max="14606" width="14.75" style="73" bestFit="1" customWidth="1"/>
    <col min="14607" max="14607" width="14.625" style="73" bestFit="1" customWidth="1"/>
    <col min="14608" max="14608" width="13.75" style="73" bestFit="1" customWidth="1"/>
    <col min="14609" max="14609" width="14.25" style="73" bestFit="1" customWidth="1"/>
    <col min="14610" max="14610" width="15.125" style="73" customWidth="1"/>
    <col min="14611" max="14611" width="20.5" style="73" bestFit="1" customWidth="1"/>
    <col min="14612" max="14612" width="27.875" style="73" bestFit="1" customWidth="1"/>
    <col min="14613" max="14613" width="6.875" style="73" bestFit="1" customWidth="1"/>
    <col min="14614" max="14614" width="5" style="73" bestFit="1" customWidth="1"/>
    <col min="14615" max="14615" width="8" style="73" bestFit="1" customWidth="1"/>
    <col min="14616" max="14616" width="11.875" style="73" bestFit="1" customWidth="1"/>
    <col min="14617" max="14845" width="9" style="73"/>
    <col min="14846" max="14846" width="3.875" style="73" bestFit="1" customWidth="1"/>
    <col min="14847" max="14847" width="16" style="73" bestFit="1" customWidth="1"/>
    <col min="14848" max="14848" width="16.625" style="73" bestFit="1" customWidth="1"/>
    <col min="14849" max="14849" width="13.5" style="73" bestFit="1" customWidth="1"/>
    <col min="14850" max="14851" width="10.875" style="73" bestFit="1" customWidth="1"/>
    <col min="14852" max="14852" width="6.25" style="73" bestFit="1" customWidth="1"/>
    <col min="14853" max="14853" width="8.875" style="73" bestFit="1" customWidth="1"/>
    <col min="14854" max="14854" width="13.875" style="73" bestFit="1" customWidth="1"/>
    <col min="14855" max="14855" width="13.25" style="73" bestFit="1" customWidth="1"/>
    <col min="14856" max="14856" width="16" style="73" bestFit="1" customWidth="1"/>
    <col min="14857" max="14857" width="11.625" style="73" bestFit="1" customWidth="1"/>
    <col min="14858" max="14858" width="16.875" style="73" customWidth="1"/>
    <col min="14859" max="14859" width="13.25" style="73" customWidth="1"/>
    <col min="14860" max="14860" width="18.375" style="73" bestFit="1" customWidth="1"/>
    <col min="14861" max="14861" width="15" style="73" bestFit="1" customWidth="1"/>
    <col min="14862" max="14862" width="14.75" style="73" bestFit="1" customWidth="1"/>
    <col min="14863" max="14863" width="14.625" style="73" bestFit="1" customWidth="1"/>
    <col min="14864" max="14864" width="13.75" style="73" bestFit="1" customWidth="1"/>
    <col min="14865" max="14865" width="14.25" style="73" bestFit="1" customWidth="1"/>
    <col min="14866" max="14866" width="15.125" style="73" customWidth="1"/>
    <col min="14867" max="14867" width="20.5" style="73" bestFit="1" customWidth="1"/>
    <col min="14868" max="14868" width="27.875" style="73" bestFit="1" customWidth="1"/>
    <col min="14869" max="14869" width="6.875" style="73" bestFit="1" customWidth="1"/>
    <col min="14870" max="14870" width="5" style="73" bestFit="1" customWidth="1"/>
    <col min="14871" max="14871" width="8" style="73" bestFit="1" customWidth="1"/>
    <col min="14872" max="14872" width="11.875" style="73" bestFit="1" customWidth="1"/>
    <col min="14873" max="15101" width="9" style="73"/>
    <col min="15102" max="15102" width="3.875" style="73" bestFit="1" customWidth="1"/>
    <col min="15103" max="15103" width="16" style="73" bestFit="1" customWidth="1"/>
    <col min="15104" max="15104" width="16.625" style="73" bestFit="1" customWidth="1"/>
    <col min="15105" max="15105" width="13.5" style="73" bestFit="1" customWidth="1"/>
    <col min="15106" max="15107" width="10.875" style="73" bestFit="1" customWidth="1"/>
    <col min="15108" max="15108" width="6.25" style="73" bestFit="1" customWidth="1"/>
    <col min="15109" max="15109" width="8.875" style="73" bestFit="1" customWidth="1"/>
    <col min="15110" max="15110" width="13.875" style="73" bestFit="1" customWidth="1"/>
    <col min="15111" max="15111" width="13.25" style="73" bestFit="1" customWidth="1"/>
    <col min="15112" max="15112" width="16" style="73" bestFit="1" customWidth="1"/>
    <col min="15113" max="15113" width="11.625" style="73" bestFit="1" customWidth="1"/>
    <col min="15114" max="15114" width="16.875" style="73" customWidth="1"/>
    <col min="15115" max="15115" width="13.25" style="73" customWidth="1"/>
    <col min="15116" max="15116" width="18.375" style="73" bestFit="1" customWidth="1"/>
    <col min="15117" max="15117" width="15" style="73" bestFit="1" customWidth="1"/>
    <col min="15118" max="15118" width="14.75" style="73" bestFit="1" customWidth="1"/>
    <col min="15119" max="15119" width="14.625" style="73" bestFit="1" customWidth="1"/>
    <col min="15120" max="15120" width="13.75" style="73" bestFit="1" customWidth="1"/>
    <col min="15121" max="15121" width="14.25" style="73" bestFit="1" customWidth="1"/>
    <col min="15122" max="15122" width="15.125" style="73" customWidth="1"/>
    <col min="15123" max="15123" width="20.5" style="73" bestFit="1" customWidth="1"/>
    <col min="15124" max="15124" width="27.875" style="73" bestFit="1" customWidth="1"/>
    <col min="15125" max="15125" width="6.875" style="73" bestFit="1" customWidth="1"/>
    <col min="15126" max="15126" width="5" style="73" bestFit="1" customWidth="1"/>
    <col min="15127" max="15127" width="8" style="73" bestFit="1" customWidth="1"/>
    <col min="15128" max="15128" width="11.875" style="73" bestFit="1" customWidth="1"/>
    <col min="15129" max="15357" width="9" style="73"/>
    <col min="15358" max="15358" width="3.875" style="73" bestFit="1" customWidth="1"/>
    <col min="15359" max="15359" width="16" style="73" bestFit="1" customWidth="1"/>
    <col min="15360" max="15360" width="16.625" style="73" bestFit="1" customWidth="1"/>
    <col min="15361" max="15361" width="13.5" style="73" bestFit="1" customWidth="1"/>
    <col min="15362" max="15363" width="10.875" style="73" bestFit="1" customWidth="1"/>
    <col min="15364" max="15364" width="6.25" style="73" bestFit="1" customWidth="1"/>
    <col min="15365" max="15365" width="8.875" style="73" bestFit="1" customWidth="1"/>
    <col min="15366" max="15366" width="13.875" style="73" bestFit="1" customWidth="1"/>
    <col min="15367" max="15367" width="13.25" style="73" bestFit="1" customWidth="1"/>
    <col min="15368" max="15368" width="16" style="73" bestFit="1" customWidth="1"/>
    <col min="15369" max="15369" width="11.625" style="73" bestFit="1" customWidth="1"/>
    <col min="15370" max="15370" width="16.875" style="73" customWidth="1"/>
    <col min="15371" max="15371" width="13.25" style="73" customWidth="1"/>
    <col min="15372" max="15372" width="18.375" style="73" bestFit="1" customWidth="1"/>
    <col min="15373" max="15373" width="15" style="73" bestFit="1" customWidth="1"/>
    <col min="15374" max="15374" width="14.75" style="73" bestFit="1" customWidth="1"/>
    <col min="15375" max="15375" width="14.625" style="73" bestFit="1" customWidth="1"/>
    <col min="15376" max="15376" width="13.75" style="73" bestFit="1" customWidth="1"/>
    <col min="15377" max="15377" width="14.25" style="73" bestFit="1" customWidth="1"/>
    <col min="15378" max="15378" width="15.125" style="73" customWidth="1"/>
    <col min="15379" max="15379" width="20.5" style="73" bestFit="1" customWidth="1"/>
    <col min="15380" max="15380" width="27.875" style="73" bestFit="1" customWidth="1"/>
    <col min="15381" max="15381" width="6.875" style="73" bestFit="1" customWidth="1"/>
    <col min="15382" max="15382" width="5" style="73" bestFit="1" customWidth="1"/>
    <col min="15383" max="15383" width="8" style="73" bestFit="1" customWidth="1"/>
    <col min="15384" max="15384" width="11.875" style="73" bestFit="1" customWidth="1"/>
    <col min="15385" max="15613" width="9" style="73"/>
    <col min="15614" max="15614" width="3.875" style="73" bestFit="1" customWidth="1"/>
    <col min="15615" max="15615" width="16" style="73" bestFit="1" customWidth="1"/>
    <col min="15616" max="15616" width="16.625" style="73" bestFit="1" customWidth="1"/>
    <col min="15617" max="15617" width="13.5" style="73" bestFit="1" customWidth="1"/>
    <col min="15618" max="15619" width="10.875" style="73" bestFit="1" customWidth="1"/>
    <col min="15620" max="15620" width="6.25" style="73" bestFit="1" customWidth="1"/>
    <col min="15621" max="15621" width="8.875" style="73" bestFit="1" customWidth="1"/>
    <col min="15622" max="15622" width="13.875" style="73" bestFit="1" customWidth="1"/>
    <col min="15623" max="15623" width="13.25" style="73" bestFit="1" customWidth="1"/>
    <col min="15624" max="15624" width="16" style="73" bestFit="1" customWidth="1"/>
    <col min="15625" max="15625" width="11.625" style="73" bestFit="1" customWidth="1"/>
    <col min="15626" max="15626" width="16.875" style="73" customWidth="1"/>
    <col min="15627" max="15627" width="13.25" style="73" customWidth="1"/>
    <col min="15628" max="15628" width="18.375" style="73" bestFit="1" customWidth="1"/>
    <col min="15629" max="15629" width="15" style="73" bestFit="1" customWidth="1"/>
    <col min="15630" max="15630" width="14.75" style="73" bestFit="1" customWidth="1"/>
    <col min="15631" max="15631" width="14.625" style="73" bestFit="1" customWidth="1"/>
    <col min="15632" max="15632" width="13.75" style="73" bestFit="1" customWidth="1"/>
    <col min="15633" max="15633" width="14.25" style="73" bestFit="1" customWidth="1"/>
    <col min="15634" max="15634" width="15.125" style="73" customWidth="1"/>
    <col min="15635" max="15635" width="20.5" style="73" bestFit="1" customWidth="1"/>
    <col min="15636" max="15636" width="27.875" style="73" bestFit="1" customWidth="1"/>
    <col min="15637" max="15637" width="6.875" style="73" bestFit="1" customWidth="1"/>
    <col min="15638" max="15638" width="5" style="73" bestFit="1" customWidth="1"/>
    <col min="15639" max="15639" width="8" style="73" bestFit="1" customWidth="1"/>
    <col min="15640" max="15640" width="11.875" style="73" bestFit="1" customWidth="1"/>
    <col min="15641" max="15869" width="9" style="73"/>
    <col min="15870" max="15870" width="3.875" style="73" bestFit="1" customWidth="1"/>
    <col min="15871" max="15871" width="16" style="73" bestFit="1" customWidth="1"/>
    <col min="15872" max="15872" width="16.625" style="73" bestFit="1" customWidth="1"/>
    <col min="15873" max="15873" width="13.5" style="73" bestFit="1" customWidth="1"/>
    <col min="15874" max="15875" width="10.875" style="73" bestFit="1" customWidth="1"/>
    <col min="15876" max="15876" width="6.25" style="73" bestFit="1" customWidth="1"/>
    <col min="15877" max="15877" width="8.875" style="73" bestFit="1" customWidth="1"/>
    <col min="15878" max="15878" width="13.875" style="73" bestFit="1" customWidth="1"/>
    <col min="15879" max="15879" width="13.25" style="73" bestFit="1" customWidth="1"/>
    <col min="15880" max="15880" width="16" style="73" bestFit="1" customWidth="1"/>
    <col min="15881" max="15881" width="11.625" style="73" bestFit="1" customWidth="1"/>
    <col min="15882" max="15882" width="16.875" style="73" customWidth="1"/>
    <col min="15883" max="15883" width="13.25" style="73" customWidth="1"/>
    <col min="15884" max="15884" width="18.375" style="73" bestFit="1" customWidth="1"/>
    <col min="15885" max="15885" width="15" style="73" bestFit="1" customWidth="1"/>
    <col min="15886" max="15886" width="14.75" style="73" bestFit="1" customWidth="1"/>
    <col min="15887" max="15887" width="14.625" style="73" bestFit="1" customWidth="1"/>
    <col min="15888" max="15888" width="13.75" style="73" bestFit="1" customWidth="1"/>
    <col min="15889" max="15889" width="14.25" style="73" bestFit="1" customWidth="1"/>
    <col min="15890" max="15890" width="15.125" style="73" customWidth="1"/>
    <col min="15891" max="15891" width="20.5" style="73" bestFit="1" customWidth="1"/>
    <col min="15892" max="15892" width="27.875" style="73" bestFit="1" customWidth="1"/>
    <col min="15893" max="15893" width="6.875" style="73" bestFit="1" customWidth="1"/>
    <col min="15894" max="15894" width="5" style="73" bestFit="1" customWidth="1"/>
    <col min="15895" max="15895" width="8" style="73" bestFit="1" customWidth="1"/>
    <col min="15896" max="15896" width="11.875" style="73" bestFit="1" customWidth="1"/>
    <col min="15897" max="16125" width="9" style="73"/>
    <col min="16126" max="16126" width="3.875" style="73" bestFit="1" customWidth="1"/>
    <col min="16127" max="16127" width="16" style="73" bestFit="1" customWidth="1"/>
    <col min="16128" max="16128" width="16.625" style="73" bestFit="1" customWidth="1"/>
    <col min="16129" max="16129" width="13.5" style="73" bestFit="1" customWidth="1"/>
    <col min="16130" max="16131" width="10.875" style="73" bestFit="1" customWidth="1"/>
    <col min="16132" max="16132" width="6.25" style="73" bestFit="1" customWidth="1"/>
    <col min="16133" max="16133" width="8.875" style="73" bestFit="1" customWidth="1"/>
    <col min="16134" max="16134" width="13.875" style="73" bestFit="1" customWidth="1"/>
    <col min="16135" max="16135" width="13.25" style="73" bestFit="1" customWidth="1"/>
    <col min="16136" max="16136" width="16" style="73" bestFit="1" customWidth="1"/>
    <col min="16137" max="16137" width="11.625" style="73" bestFit="1" customWidth="1"/>
    <col min="16138" max="16138" width="16.875" style="73" customWidth="1"/>
    <col min="16139" max="16139" width="13.25" style="73" customWidth="1"/>
    <col min="16140" max="16140" width="18.375" style="73" bestFit="1" customWidth="1"/>
    <col min="16141" max="16141" width="15" style="73" bestFit="1" customWidth="1"/>
    <col min="16142" max="16142" width="14.75" style="73" bestFit="1" customWidth="1"/>
    <col min="16143" max="16143" width="14.625" style="73" bestFit="1" customWidth="1"/>
    <col min="16144" max="16144" width="13.75" style="73" bestFit="1" customWidth="1"/>
    <col min="16145" max="16145" width="14.25" style="73" bestFit="1" customWidth="1"/>
    <col min="16146" max="16146" width="15.125" style="73" customWidth="1"/>
    <col min="16147" max="16147" width="20.5" style="73" bestFit="1" customWidth="1"/>
    <col min="16148" max="16148" width="27.875" style="73" bestFit="1" customWidth="1"/>
    <col min="16149" max="16149" width="6.875" style="73" bestFit="1" customWidth="1"/>
    <col min="16150" max="16150" width="5" style="73" bestFit="1" customWidth="1"/>
    <col min="16151" max="16151" width="8" style="73" bestFit="1" customWidth="1"/>
    <col min="16152" max="16152" width="11.875" style="73" bestFit="1" customWidth="1"/>
    <col min="16153" max="16384" width="9" style="73"/>
  </cols>
  <sheetData>
    <row r="1" spans="1:52" ht="18.75" x14ac:dyDescent="0.25">
      <c r="P1" s="110"/>
      <c r="AD1" s="16"/>
    </row>
    <row r="2" spans="1:52" ht="18.75" x14ac:dyDescent="0.3">
      <c r="P2" s="111"/>
      <c r="AD2" s="11"/>
    </row>
    <row r="3" spans="1:52" ht="18.75" x14ac:dyDescent="0.3">
      <c r="P3" s="111"/>
      <c r="AD3" s="11"/>
    </row>
    <row r="4" spans="1:52" ht="18.75" x14ac:dyDescent="0.3">
      <c r="A4" s="1284"/>
      <c r="B4" s="1284"/>
      <c r="C4" s="1284"/>
      <c r="D4" s="1284"/>
      <c r="E4" s="1284"/>
      <c r="F4" s="1284"/>
      <c r="G4" s="1284"/>
      <c r="H4" s="1284"/>
      <c r="I4" s="1284"/>
      <c r="J4" s="1284"/>
      <c r="K4" s="1284"/>
      <c r="L4" s="1284"/>
      <c r="M4" s="1284"/>
      <c r="N4" s="1284"/>
      <c r="O4" s="1284"/>
      <c r="P4" s="1284"/>
      <c r="AD4" s="11"/>
    </row>
    <row r="5" spans="1:52" ht="16.5" x14ac:dyDescent="0.25">
      <c r="A5" s="1284" t="s">
        <v>565</v>
      </c>
      <c r="B5" s="1284"/>
      <c r="C5" s="1284"/>
      <c r="D5" s="1284"/>
      <c r="E5" s="1284"/>
      <c r="F5" s="1284"/>
      <c r="G5" s="1284"/>
      <c r="H5" s="1284"/>
      <c r="I5" s="1284"/>
      <c r="J5" s="1284"/>
      <c r="K5" s="1284"/>
      <c r="L5" s="1284"/>
      <c r="M5" s="1284"/>
      <c r="N5" s="1284"/>
      <c r="O5" s="1284"/>
      <c r="P5" s="1284"/>
      <c r="Q5" s="74"/>
      <c r="R5" s="74"/>
      <c r="S5" s="74"/>
      <c r="T5" s="74"/>
      <c r="U5" s="74"/>
      <c r="V5" s="74"/>
      <c r="W5" s="74"/>
      <c r="X5" s="74"/>
      <c r="Y5" s="74"/>
      <c r="Z5" s="74"/>
      <c r="AA5" s="74"/>
      <c r="AB5" s="74"/>
      <c r="AC5" s="74"/>
      <c r="AD5" s="74"/>
      <c r="AE5" s="74"/>
      <c r="AF5" s="74"/>
      <c r="AG5" s="74"/>
    </row>
    <row r="6" spans="1:52" ht="16.5" x14ac:dyDescent="0.25">
      <c r="A6" s="95"/>
      <c r="B6" s="95"/>
      <c r="C6" s="95"/>
      <c r="D6" s="95"/>
      <c r="E6" s="95"/>
      <c r="F6" s="95"/>
      <c r="G6" s="95"/>
      <c r="H6" s="95"/>
      <c r="I6" s="95"/>
      <c r="J6" s="95"/>
      <c r="K6" s="95"/>
      <c r="L6" s="95"/>
      <c r="M6" s="95"/>
      <c r="N6" s="95"/>
      <c r="O6" s="95"/>
      <c r="P6" s="95"/>
      <c r="Q6" s="74"/>
      <c r="R6" s="74"/>
      <c r="S6" s="74"/>
      <c r="T6" s="74"/>
      <c r="U6" s="74"/>
      <c r="V6" s="74"/>
      <c r="W6" s="74"/>
      <c r="X6" s="74"/>
      <c r="Y6" s="74"/>
      <c r="Z6" s="74"/>
      <c r="AA6" s="74"/>
      <c r="AB6" s="74"/>
      <c r="AC6" s="74"/>
      <c r="AD6" s="74"/>
      <c r="AE6" s="74"/>
      <c r="AF6" s="74"/>
      <c r="AG6" s="74"/>
    </row>
    <row r="7" spans="1:52" ht="15.75" x14ac:dyDescent="0.25">
      <c r="A7" s="1293" t="s">
        <v>810</v>
      </c>
      <c r="B7" s="1293"/>
      <c r="C7" s="1293"/>
      <c r="D7" s="1293"/>
      <c r="E7" s="1293"/>
      <c r="F7" s="1293"/>
      <c r="G7" s="1293"/>
      <c r="H7" s="1293"/>
      <c r="I7" s="1293"/>
      <c r="J7" s="1293"/>
      <c r="K7" s="1293"/>
      <c r="L7" s="1293"/>
      <c r="M7" s="1293"/>
      <c r="N7" s="1293"/>
      <c r="O7" s="1293"/>
      <c r="P7" s="1293"/>
      <c r="Q7" s="68"/>
      <c r="R7" s="68"/>
      <c r="S7" s="68"/>
      <c r="T7" s="68"/>
      <c r="U7" s="68"/>
      <c r="V7" s="68"/>
      <c r="W7" s="68"/>
      <c r="X7" s="68"/>
      <c r="Y7" s="68"/>
      <c r="Z7" s="68"/>
      <c r="AA7" s="68"/>
      <c r="AB7" s="68"/>
      <c r="AC7" s="68"/>
      <c r="AD7" s="68"/>
      <c r="AE7" s="68"/>
      <c r="AF7" s="68"/>
      <c r="AG7" s="68"/>
    </row>
    <row r="8" spans="1:52" ht="15.75" x14ac:dyDescent="0.25">
      <c r="A8" s="1294" t="s">
        <v>313</v>
      </c>
      <c r="B8" s="1294"/>
      <c r="C8" s="1294"/>
      <c r="D8" s="1294"/>
      <c r="E8" s="1294"/>
      <c r="F8" s="1294"/>
      <c r="G8" s="1294"/>
      <c r="H8" s="1294"/>
      <c r="I8" s="1294"/>
      <c r="J8" s="1294"/>
      <c r="K8" s="1294"/>
      <c r="L8" s="1294"/>
      <c r="M8" s="1294"/>
      <c r="N8" s="1294"/>
      <c r="O8" s="1294"/>
      <c r="P8" s="1294"/>
      <c r="Q8" s="66"/>
      <c r="R8" s="66"/>
      <c r="S8" s="66"/>
      <c r="T8" s="66"/>
      <c r="U8" s="66"/>
      <c r="V8" s="66"/>
      <c r="W8" s="66"/>
      <c r="X8" s="66"/>
      <c r="Y8" s="66"/>
      <c r="Z8" s="66"/>
      <c r="AA8" s="66"/>
      <c r="AB8" s="66"/>
      <c r="AC8" s="66"/>
      <c r="AD8" s="66"/>
      <c r="AE8" s="66"/>
      <c r="AF8" s="66"/>
      <c r="AG8" s="66"/>
    </row>
    <row r="9" spans="1:52" x14ac:dyDescent="0.25">
      <c r="A9" s="1295"/>
      <c r="B9" s="1295"/>
      <c r="C9" s="1295"/>
      <c r="D9" s="1295"/>
      <c r="E9" s="1295"/>
      <c r="F9" s="1295"/>
      <c r="G9" s="1295"/>
      <c r="H9" s="1295"/>
      <c r="I9" s="1295"/>
      <c r="J9" s="1295"/>
      <c r="K9" s="1295"/>
      <c r="L9" s="1295"/>
      <c r="M9" s="1295"/>
      <c r="N9" s="1295"/>
      <c r="O9" s="1295"/>
      <c r="P9" s="1295"/>
      <c r="Q9" s="75"/>
      <c r="R9" s="75"/>
      <c r="S9" s="75"/>
      <c r="T9" s="75"/>
      <c r="U9" s="75"/>
      <c r="V9" s="75"/>
      <c r="W9" s="75"/>
      <c r="X9" s="75"/>
      <c r="Y9" s="75"/>
      <c r="Z9" s="75"/>
      <c r="AA9" s="75"/>
      <c r="AB9" s="75"/>
      <c r="AC9" s="75"/>
      <c r="AD9" s="75"/>
      <c r="AE9" s="75"/>
      <c r="AF9" s="75"/>
      <c r="AG9" s="75"/>
    </row>
    <row r="10" spans="1:52" ht="18" customHeight="1" x14ac:dyDescent="0.25">
      <c r="A10" s="1280" t="s">
        <v>54</v>
      </c>
      <c r="B10" s="1280"/>
      <c r="C10" s="1280"/>
      <c r="D10" s="1280"/>
      <c r="E10" s="1280"/>
      <c r="F10" s="1280"/>
      <c r="G10" s="1280"/>
      <c r="H10" s="1280"/>
      <c r="I10" s="1280"/>
      <c r="J10" s="1280"/>
      <c r="K10" s="1280"/>
      <c r="L10" s="1280"/>
      <c r="M10" s="1280"/>
      <c r="N10" s="1280"/>
      <c r="O10" s="1280"/>
      <c r="P10" s="1280"/>
      <c r="Q10" s="10"/>
      <c r="R10" s="10"/>
      <c r="S10" s="10"/>
      <c r="T10" s="10"/>
      <c r="U10" s="10"/>
      <c r="V10" s="10"/>
      <c r="W10" s="10"/>
      <c r="X10" s="10"/>
      <c r="Y10" s="10"/>
      <c r="Z10" s="10"/>
      <c r="AA10" s="10"/>
      <c r="AB10" s="10"/>
      <c r="AC10" s="10"/>
      <c r="AD10" s="10"/>
      <c r="AE10" s="10"/>
      <c r="AF10" s="10"/>
      <c r="AG10" s="10"/>
    </row>
    <row r="11" spans="1:52" ht="18" customHeight="1" x14ac:dyDescent="0.25">
      <c r="A11" s="102"/>
      <c r="B11" s="102"/>
      <c r="C11" s="102"/>
      <c r="D11" s="102"/>
      <c r="E11" s="102"/>
      <c r="F11" s="102"/>
      <c r="G11" s="102"/>
      <c r="H11" s="102"/>
      <c r="I11" s="102"/>
      <c r="J11" s="102"/>
      <c r="K11" s="102"/>
      <c r="L11" s="102"/>
      <c r="M11" s="102"/>
      <c r="N11" s="102"/>
      <c r="O11" s="102"/>
      <c r="P11" s="102"/>
      <c r="Q11" s="10"/>
      <c r="R11" s="10"/>
      <c r="S11" s="10"/>
      <c r="T11" s="10"/>
      <c r="U11" s="10"/>
      <c r="V11" s="10"/>
      <c r="W11" s="10"/>
      <c r="X11" s="10"/>
      <c r="Y11" s="10"/>
      <c r="Z11" s="10"/>
      <c r="AA11" s="10"/>
      <c r="AB11" s="10"/>
      <c r="AC11" s="10"/>
      <c r="AD11" s="10"/>
      <c r="AE11" s="10"/>
      <c r="AF11" s="10"/>
      <c r="AG11" s="10"/>
    </row>
    <row r="12" spans="1:52" ht="18.75" x14ac:dyDescent="0.3">
      <c r="A12" s="1280" t="s">
        <v>164</v>
      </c>
      <c r="B12" s="1280"/>
      <c r="C12" s="1280"/>
      <c r="D12" s="1280"/>
      <c r="E12" s="1280"/>
      <c r="F12" s="1280"/>
      <c r="G12" s="1280"/>
      <c r="H12" s="1280"/>
      <c r="I12" s="1280"/>
      <c r="J12" s="1280"/>
      <c r="K12" s="1280"/>
      <c r="L12" s="1280"/>
      <c r="M12" s="1280"/>
      <c r="N12" s="1280"/>
      <c r="O12" s="1280"/>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ht="16.5" customHeight="1" x14ac:dyDescent="0.25">
      <c r="A13" s="1297" t="s">
        <v>651</v>
      </c>
      <c r="B13" s="1297"/>
      <c r="C13" s="1297"/>
      <c r="D13" s="1297"/>
      <c r="E13" s="1297"/>
      <c r="F13" s="1297"/>
      <c r="G13" s="1297"/>
      <c r="H13" s="1297"/>
      <c r="I13" s="1297"/>
      <c r="J13" s="1297"/>
      <c r="K13" s="1297"/>
      <c r="L13" s="1297"/>
      <c r="M13" s="1297"/>
      <c r="N13" s="1297"/>
      <c r="O13" s="129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x14ac:dyDescent="0.25">
      <c r="A14" s="1268"/>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row>
    <row r="15" spans="1:52" ht="59.25" customHeight="1" x14ac:dyDescent="0.25">
      <c r="A15" s="1289" t="s">
        <v>510</v>
      </c>
      <c r="B15" s="1287" t="s">
        <v>532</v>
      </c>
      <c r="C15" s="1287" t="s">
        <v>533</v>
      </c>
      <c r="D15" s="1296" t="s">
        <v>526</v>
      </c>
      <c r="E15" s="1296"/>
      <c r="F15" s="1296"/>
      <c r="G15" s="1287" t="s">
        <v>622</v>
      </c>
      <c r="H15" s="1291" t="s">
        <v>623</v>
      </c>
      <c r="I15" s="1292"/>
      <c r="J15" s="1291" t="s">
        <v>20</v>
      </c>
      <c r="K15" s="1292"/>
      <c r="L15" s="1291" t="s">
        <v>182</v>
      </c>
      <c r="M15" s="1292"/>
      <c r="N15" s="1291" t="s">
        <v>181</v>
      </c>
      <c r="O15" s="1292"/>
      <c r="R15" s="9"/>
    </row>
    <row r="16" spans="1:52" ht="78.75" x14ac:dyDescent="0.25">
      <c r="A16" s="1290"/>
      <c r="B16" s="1288"/>
      <c r="C16" s="1288"/>
      <c r="D16" s="99" t="s">
        <v>527</v>
      </c>
      <c r="E16" s="99" t="s">
        <v>528</v>
      </c>
      <c r="F16" s="99" t="s">
        <v>529</v>
      </c>
      <c r="G16" s="1288"/>
      <c r="H16" s="101" t="s">
        <v>183</v>
      </c>
      <c r="I16" s="101" t="s">
        <v>412</v>
      </c>
      <c r="J16" s="101" t="s">
        <v>183</v>
      </c>
      <c r="K16" s="101" t="s">
        <v>412</v>
      </c>
      <c r="L16" s="101" t="s">
        <v>183</v>
      </c>
      <c r="M16" s="101" t="s">
        <v>411</v>
      </c>
      <c r="N16" s="101" t="s">
        <v>183</v>
      </c>
      <c r="O16" s="101" t="s">
        <v>411</v>
      </c>
    </row>
    <row r="17" spans="1:15" ht="15.75" x14ac:dyDescent="0.25">
      <c r="A17" s="107">
        <v>1</v>
      </c>
      <c r="B17" s="101">
        <v>2</v>
      </c>
      <c r="C17" s="101">
        <v>3</v>
      </c>
      <c r="D17" s="101">
        <v>4</v>
      </c>
      <c r="E17" s="101">
        <v>5</v>
      </c>
      <c r="F17" s="101">
        <v>6</v>
      </c>
      <c r="G17" s="101">
        <v>7</v>
      </c>
      <c r="H17" s="101">
        <v>8</v>
      </c>
      <c r="I17" s="101">
        <v>9</v>
      </c>
      <c r="J17" s="101">
        <v>10</v>
      </c>
      <c r="K17" s="101">
        <v>11</v>
      </c>
      <c r="L17" s="101">
        <v>12</v>
      </c>
      <c r="M17" s="101">
        <v>13</v>
      </c>
      <c r="N17" s="101">
        <v>14</v>
      </c>
      <c r="O17" s="101">
        <v>15</v>
      </c>
    </row>
    <row r="18" spans="1:15" ht="38.25" customHeight="1" x14ac:dyDescent="0.25">
      <c r="A18" s="116" t="s">
        <v>537</v>
      </c>
      <c r="B18" s="115" t="s">
        <v>567</v>
      </c>
      <c r="C18" s="115" t="s">
        <v>625</v>
      </c>
      <c r="D18" s="115" t="s">
        <v>621</v>
      </c>
      <c r="E18" s="115" t="s">
        <v>621</v>
      </c>
      <c r="F18" s="115" t="s">
        <v>621</v>
      </c>
      <c r="G18" s="115" t="s">
        <v>621</v>
      </c>
      <c r="H18" s="115" t="s">
        <v>621</v>
      </c>
      <c r="I18" s="115" t="s">
        <v>621</v>
      </c>
      <c r="J18" s="115" t="s">
        <v>621</v>
      </c>
      <c r="K18" s="115" t="s">
        <v>621</v>
      </c>
      <c r="L18" s="115" t="s">
        <v>621</v>
      </c>
      <c r="M18" s="115" t="s">
        <v>621</v>
      </c>
      <c r="N18" s="115" t="s">
        <v>621</v>
      </c>
      <c r="O18" s="115" t="s">
        <v>621</v>
      </c>
    </row>
    <row r="19" spans="1:15" ht="84" customHeight="1" x14ac:dyDescent="0.25">
      <c r="A19" s="116" t="s">
        <v>538</v>
      </c>
      <c r="B19" s="112" t="s">
        <v>635</v>
      </c>
      <c r="C19" s="115" t="s">
        <v>621</v>
      </c>
      <c r="D19" s="115" t="s">
        <v>621</v>
      </c>
      <c r="E19" s="115" t="s">
        <v>621</v>
      </c>
      <c r="F19" s="115" t="s">
        <v>621</v>
      </c>
      <c r="G19" s="115" t="s">
        <v>621</v>
      </c>
      <c r="H19" s="115" t="s">
        <v>621</v>
      </c>
      <c r="I19" s="115" t="s">
        <v>621</v>
      </c>
      <c r="J19" s="115" t="s">
        <v>621</v>
      </c>
      <c r="K19" s="115" t="s">
        <v>621</v>
      </c>
      <c r="L19" s="115" t="s">
        <v>621</v>
      </c>
      <c r="M19" s="115" t="s">
        <v>621</v>
      </c>
      <c r="N19" s="115" t="s">
        <v>621</v>
      </c>
      <c r="O19" s="115" t="s">
        <v>621</v>
      </c>
    </row>
    <row r="20" spans="1:15" ht="48" customHeight="1" x14ac:dyDescent="0.25">
      <c r="A20" s="1285" t="s">
        <v>540</v>
      </c>
      <c r="B20" s="1286" t="s">
        <v>636</v>
      </c>
      <c r="C20" s="115" t="s">
        <v>536</v>
      </c>
      <c r="D20" s="115"/>
      <c r="E20" s="115"/>
      <c r="F20" s="115"/>
      <c r="G20" s="115"/>
      <c r="H20" s="115"/>
      <c r="I20" s="115"/>
      <c r="J20" s="115"/>
      <c r="K20" s="115"/>
      <c r="L20" s="115"/>
      <c r="M20" s="115"/>
      <c r="N20" s="115"/>
      <c r="O20" s="115"/>
    </row>
    <row r="21" spans="1:15" ht="40.5" customHeight="1" x14ac:dyDescent="0.25">
      <c r="A21" s="1285"/>
      <c r="B21" s="1286"/>
      <c r="C21" s="115" t="s">
        <v>535</v>
      </c>
      <c r="D21" s="115"/>
      <c r="E21" s="115"/>
      <c r="F21" s="115"/>
      <c r="G21" s="115"/>
      <c r="H21" s="115"/>
      <c r="I21" s="115"/>
      <c r="J21" s="115"/>
      <c r="K21" s="115"/>
      <c r="L21" s="115"/>
      <c r="M21" s="115"/>
      <c r="N21" s="115"/>
      <c r="O21" s="115"/>
    </row>
    <row r="22" spans="1:15" ht="28.5" customHeight="1" x14ac:dyDescent="0.25">
      <c r="A22" s="1285" t="s">
        <v>568</v>
      </c>
      <c r="B22" s="1286" t="s">
        <v>534</v>
      </c>
      <c r="C22" s="115" t="s">
        <v>536</v>
      </c>
      <c r="D22" s="115"/>
      <c r="E22" s="115"/>
      <c r="F22" s="115"/>
      <c r="G22" s="115"/>
      <c r="H22" s="115"/>
      <c r="I22" s="115"/>
      <c r="J22" s="115"/>
      <c r="K22" s="115"/>
      <c r="L22" s="115"/>
      <c r="M22" s="115"/>
      <c r="N22" s="115"/>
      <c r="O22" s="115"/>
    </row>
    <row r="23" spans="1:15" ht="26.25" customHeight="1" x14ac:dyDescent="0.25">
      <c r="A23" s="1285"/>
      <c r="B23" s="1286"/>
      <c r="C23" s="115" t="s">
        <v>535</v>
      </c>
      <c r="D23" s="115"/>
      <c r="E23" s="115"/>
      <c r="F23" s="115"/>
      <c r="G23" s="115"/>
      <c r="H23" s="115"/>
      <c r="I23" s="115"/>
      <c r="J23" s="115"/>
      <c r="K23" s="115"/>
      <c r="L23" s="115"/>
      <c r="M23" s="115"/>
      <c r="N23" s="115"/>
      <c r="O23" s="115"/>
    </row>
    <row r="24" spans="1:15" ht="25.5" customHeight="1" x14ac:dyDescent="0.25">
      <c r="A24" s="1285" t="s">
        <v>569</v>
      </c>
      <c r="B24" s="1286" t="s">
        <v>549</v>
      </c>
      <c r="C24" s="115" t="s">
        <v>536</v>
      </c>
      <c r="D24" s="115"/>
      <c r="E24" s="115"/>
      <c r="F24" s="115"/>
      <c r="G24" s="115"/>
      <c r="H24" s="115"/>
      <c r="I24" s="115"/>
      <c r="J24" s="115"/>
      <c r="K24" s="115"/>
      <c r="L24" s="115"/>
      <c r="M24" s="115"/>
      <c r="N24" s="115"/>
      <c r="O24" s="115"/>
    </row>
    <row r="25" spans="1:15" ht="23.25" customHeight="1" x14ac:dyDescent="0.25">
      <c r="A25" s="1285"/>
      <c r="B25" s="1286"/>
      <c r="C25" s="115" t="s">
        <v>535</v>
      </c>
      <c r="D25" s="115"/>
      <c r="E25" s="115"/>
      <c r="F25" s="115"/>
      <c r="G25" s="115"/>
      <c r="H25" s="115"/>
      <c r="I25" s="115"/>
      <c r="J25" s="115"/>
      <c r="K25" s="115"/>
      <c r="L25" s="115"/>
      <c r="M25" s="115"/>
      <c r="N25" s="115"/>
      <c r="O25" s="115"/>
    </row>
    <row r="26" spans="1:15" ht="29.25" customHeight="1" x14ac:dyDescent="0.25">
      <c r="A26" s="1285" t="s">
        <v>570</v>
      </c>
      <c r="B26" s="1286" t="s">
        <v>550</v>
      </c>
      <c r="C26" s="115" t="s">
        <v>536</v>
      </c>
      <c r="D26" s="115"/>
      <c r="E26" s="115"/>
      <c r="F26" s="115"/>
      <c r="G26" s="115"/>
      <c r="H26" s="115"/>
      <c r="I26" s="115"/>
      <c r="J26" s="115"/>
      <c r="K26" s="115"/>
      <c r="L26" s="115"/>
      <c r="M26" s="115"/>
      <c r="N26" s="115"/>
      <c r="O26" s="115"/>
    </row>
    <row r="27" spans="1:15" ht="32.25" customHeight="1" x14ac:dyDescent="0.25">
      <c r="A27" s="1285"/>
      <c r="B27" s="1286"/>
      <c r="C27" s="115" t="s">
        <v>535</v>
      </c>
      <c r="D27" s="115"/>
      <c r="E27" s="115"/>
      <c r="F27" s="115"/>
      <c r="G27" s="115"/>
      <c r="H27" s="115"/>
      <c r="I27" s="115"/>
      <c r="J27" s="115"/>
      <c r="K27" s="115"/>
      <c r="L27" s="115"/>
      <c r="M27" s="115"/>
      <c r="N27" s="115"/>
      <c r="O27" s="115"/>
    </row>
    <row r="28" spans="1:15" ht="24.75" customHeight="1" x14ac:dyDescent="0.25">
      <c r="A28" s="1285" t="s">
        <v>571</v>
      </c>
      <c r="B28" s="1286" t="s">
        <v>551</v>
      </c>
      <c r="C28" s="115" t="s">
        <v>536</v>
      </c>
      <c r="D28" s="115"/>
      <c r="E28" s="115"/>
      <c r="F28" s="115"/>
      <c r="G28" s="115"/>
      <c r="H28" s="115"/>
      <c r="I28" s="115"/>
      <c r="J28" s="115"/>
      <c r="K28" s="115"/>
      <c r="L28" s="115"/>
      <c r="M28" s="115"/>
      <c r="N28" s="115"/>
      <c r="O28" s="115"/>
    </row>
    <row r="29" spans="1:15" ht="24.75" customHeight="1" x14ac:dyDescent="0.25">
      <c r="A29" s="1285"/>
      <c r="B29" s="1286"/>
      <c r="C29" s="115" t="s">
        <v>535</v>
      </c>
      <c r="D29" s="115"/>
      <c r="E29" s="115"/>
      <c r="F29" s="115"/>
      <c r="G29" s="115"/>
      <c r="H29" s="115"/>
      <c r="I29" s="115"/>
      <c r="J29" s="115"/>
      <c r="K29" s="115"/>
      <c r="L29" s="115"/>
      <c r="M29" s="115"/>
      <c r="N29" s="115"/>
      <c r="O29" s="115"/>
    </row>
    <row r="30" spans="1:15" ht="39.75" customHeight="1" x14ac:dyDescent="0.25">
      <c r="A30" s="1285" t="s">
        <v>541</v>
      </c>
      <c r="B30" s="1286" t="s">
        <v>552</v>
      </c>
      <c r="C30" s="115" t="s">
        <v>536</v>
      </c>
      <c r="D30" s="115"/>
      <c r="E30" s="115"/>
      <c r="F30" s="115"/>
      <c r="G30" s="115"/>
      <c r="H30" s="115"/>
      <c r="I30" s="115"/>
      <c r="J30" s="115"/>
      <c r="K30" s="115"/>
      <c r="L30" s="115"/>
      <c r="M30" s="115"/>
      <c r="N30" s="115"/>
      <c r="O30" s="115"/>
    </row>
    <row r="31" spans="1:15" ht="45" customHeight="1" x14ac:dyDescent="0.25">
      <c r="A31" s="1285"/>
      <c r="B31" s="1286"/>
      <c r="C31" s="115" t="s">
        <v>535</v>
      </c>
      <c r="D31" s="115"/>
      <c r="E31" s="115"/>
      <c r="F31" s="115"/>
      <c r="G31" s="115"/>
      <c r="H31" s="115"/>
      <c r="I31" s="115"/>
      <c r="J31" s="115"/>
      <c r="K31" s="115"/>
      <c r="L31" s="115"/>
      <c r="M31" s="115"/>
      <c r="N31" s="115"/>
      <c r="O31" s="115"/>
    </row>
    <row r="32" spans="1:15" ht="28.5" customHeight="1" x14ac:dyDescent="0.25">
      <c r="A32" s="1285" t="s">
        <v>572</v>
      </c>
      <c r="B32" s="1286" t="s">
        <v>534</v>
      </c>
      <c r="C32" s="115" t="s">
        <v>536</v>
      </c>
      <c r="D32" s="115"/>
      <c r="E32" s="115"/>
      <c r="F32" s="115"/>
      <c r="G32" s="115"/>
      <c r="H32" s="115"/>
      <c r="I32" s="115"/>
      <c r="J32" s="115"/>
      <c r="K32" s="115"/>
      <c r="L32" s="115"/>
      <c r="M32" s="115"/>
      <c r="N32" s="115"/>
      <c r="O32" s="115"/>
    </row>
    <row r="33" spans="1:15" ht="26.25" customHeight="1" x14ac:dyDescent="0.25">
      <c r="A33" s="1285"/>
      <c r="B33" s="1286"/>
      <c r="C33" s="115" t="s">
        <v>535</v>
      </c>
      <c r="D33" s="115"/>
      <c r="E33" s="115"/>
      <c r="F33" s="115"/>
      <c r="G33" s="115"/>
      <c r="H33" s="115"/>
      <c r="I33" s="115"/>
      <c r="J33" s="115"/>
      <c r="K33" s="115"/>
      <c r="L33" s="115"/>
      <c r="M33" s="115"/>
      <c r="N33" s="115"/>
      <c r="O33" s="115"/>
    </row>
    <row r="34" spans="1:15" ht="30.75" customHeight="1" x14ac:dyDescent="0.25">
      <c r="A34" s="1285" t="s">
        <v>573</v>
      </c>
      <c r="B34" s="1286" t="s">
        <v>549</v>
      </c>
      <c r="C34" s="115" t="s">
        <v>536</v>
      </c>
      <c r="D34" s="115"/>
      <c r="E34" s="115"/>
      <c r="F34" s="115"/>
      <c r="G34" s="115"/>
      <c r="H34" s="115"/>
      <c r="I34" s="115"/>
      <c r="J34" s="115"/>
      <c r="K34" s="115"/>
      <c r="L34" s="115"/>
      <c r="M34" s="115"/>
      <c r="N34" s="115"/>
      <c r="O34" s="115"/>
    </row>
    <row r="35" spans="1:15" ht="30.75" customHeight="1" x14ac:dyDescent="0.25">
      <c r="A35" s="1285"/>
      <c r="B35" s="1286"/>
      <c r="C35" s="115" t="s">
        <v>535</v>
      </c>
      <c r="D35" s="115"/>
      <c r="E35" s="115"/>
      <c r="F35" s="115"/>
      <c r="G35" s="115"/>
      <c r="H35" s="115"/>
      <c r="I35" s="115"/>
      <c r="J35" s="115"/>
      <c r="K35" s="115"/>
      <c r="L35" s="115"/>
      <c r="M35" s="115"/>
      <c r="N35" s="115"/>
      <c r="O35" s="115"/>
    </row>
    <row r="36" spans="1:15" ht="30.75" customHeight="1" x14ac:dyDescent="0.25">
      <c r="A36" s="1285" t="s">
        <v>574</v>
      </c>
      <c r="B36" s="1286" t="s">
        <v>550</v>
      </c>
      <c r="C36" s="115" t="s">
        <v>536</v>
      </c>
      <c r="D36" s="115"/>
      <c r="E36" s="115"/>
      <c r="F36" s="115"/>
      <c r="G36" s="115"/>
      <c r="H36" s="115"/>
      <c r="I36" s="115"/>
      <c r="J36" s="115"/>
      <c r="K36" s="115"/>
      <c r="L36" s="115"/>
      <c r="M36" s="115"/>
      <c r="N36" s="115"/>
      <c r="O36" s="115"/>
    </row>
    <row r="37" spans="1:15" ht="27.75" customHeight="1" x14ac:dyDescent="0.25">
      <c r="A37" s="1285"/>
      <c r="B37" s="1286"/>
      <c r="C37" s="115" t="s">
        <v>535</v>
      </c>
      <c r="D37" s="115"/>
      <c r="E37" s="115"/>
      <c r="F37" s="115"/>
      <c r="G37" s="115"/>
      <c r="H37" s="115"/>
      <c r="I37" s="115"/>
      <c r="J37" s="115"/>
      <c r="K37" s="115"/>
      <c r="L37" s="115"/>
      <c r="M37" s="115"/>
      <c r="N37" s="115"/>
      <c r="O37" s="115"/>
    </row>
    <row r="38" spans="1:15" ht="30.75" customHeight="1" x14ac:dyDescent="0.25">
      <c r="A38" s="1285" t="s">
        <v>575</v>
      </c>
      <c r="B38" s="1286" t="s">
        <v>551</v>
      </c>
      <c r="C38" s="115" t="s">
        <v>536</v>
      </c>
      <c r="D38" s="115"/>
      <c r="E38" s="115"/>
      <c r="F38" s="115"/>
      <c r="G38" s="115"/>
      <c r="H38" s="115"/>
      <c r="I38" s="115"/>
      <c r="J38" s="115"/>
      <c r="K38" s="115"/>
      <c r="L38" s="115"/>
      <c r="M38" s="115"/>
      <c r="N38" s="115"/>
      <c r="O38" s="115"/>
    </row>
    <row r="39" spans="1:15" ht="32.25" customHeight="1" x14ac:dyDescent="0.25">
      <c r="A39" s="1285"/>
      <c r="B39" s="1286"/>
      <c r="C39" s="115" t="s">
        <v>535</v>
      </c>
      <c r="D39" s="115"/>
      <c r="E39" s="115"/>
      <c r="F39" s="115"/>
      <c r="G39" s="115"/>
      <c r="H39" s="115"/>
      <c r="I39" s="115"/>
      <c r="J39" s="115"/>
      <c r="K39" s="115"/>
      <c r="L39" s="115"/>
      <c r="M39" s="115"/>
      <c r="N39" s="115"/>
      <c r="O39" s="115"/>
    </row>
    <row r="40" spans="1:15" ht="40.5" customHeight="1" x14ac:dyDescent="0.25">
      <c r="A40" s="1285" t="s">
        <v>542</v>
      </c>
      <c r="B40" s="1286" t="s">
        <v>553</v>
      </c>
      <c r="C40" s="115" t="s">
        <v>536</v>
      </c>
      <c r="D40" s="115"/>
      <c r="E40" s="115"/>
      <c r="F40" s="115"/>
      <c r="G40" s="115"/>
      <c r="H40" s="115"/>
      <c r="I40" s="115"/>
      <c r="J40" s="115"/>
      <c r="K40" s="115"/>
      <c r="L40" s="115"/>
      <c r="M40" s="115"/>
      <c r="N40" s="115"/>
      <c r="O40" s="115"/>
    </row>
    <row r="41" spans="1:15" ht="33" customHeight="1" x14ac:dyDescent="0.25">
      <c r="A41" s="1285"/>
      <c r="B41" s="1286"/>
      <c r="C41" s="115" t="s">
        <v>535</v>
      </c>
      <c r="D41" s="115"/>
      <c r="E41" s="115"/>
      <c r="F41" s="115"/>
      <c r="G41" s="115"/>
      <c r="H41" s="115"/>
      <c r="I41" s="115"/>
      <c r="J41" s="115"/>
      <c r="K41" s="115"/>
      <c r="L41" s="115"/>
      <c r="M41" s="115"/>
      <c r="N41" s="115"/>
      <c r="O41" s="115"/>
    </row>
    <row r="42" spans="1:15" ht="27" customHeight="1" x14ac:dyDescent="0.25">
      <c r="A42" s="1285" t="s">
        <v>576</v>
      </c>
      <c r="B42" s="1286" t="s">
        <v>534</v>
      </c>
      <c r="C42" s="115" t="s">
        <v>536</v>
      </c>
      <c r="D42" s="115"/>
      <c r="E42" s="115"/>
      <c r="F42" s="115"/>
      <c r="G42" s="115"/>
      <c r="H42" s="115"/>
      <c r="I42" s="115"/>
      <c r="J42" s="115"/>
      <c r="K42" s="115"/>
      <c r="L42" s="115"/>
      <c r="M42" s="115"/>
      <c r="N42" s="115"/>
      <c r="O42" s="115"/>
    </row>
    <row r="43" spans="1:15" ht="30.75" customHeight="1" x14ac:dyDescent="0.25">
      <c r="A43" s="1285"/>
      <c r="B43" s="1286"/>
      <c r="C43" s="115" t="s">
        <v>535</v>
      </c>
      <c r="D43" s="115"/>
      <c r="E43" s="115"/>
      <c r="F43" s="115"/>
      <c r="G43" s="115"/>
      <c r="H43" s="115"/>
      <c r="I43" s="115"/>
      <c r="J43" s="115"/>
      <c r="K43" s="115"/>
      <c r="L43" s="115"/>
      <c r="M43" s="115"/>
      <c r="N43" s="115"/>
      <c r="O43" s="115"/>
    </row>
    <row r="44" spans="1:15" ht="30.75" customHeight="1" x14ac:dyDescent="0.25">
      <c r="A44" s="1285" t="s">
        <v>577</v>
      </c>
      <c r="B44" s="1286" t="s">
        <v>549</v>
      </c>
      <c r="C44" s="115" t="s">
        <v>536</v>
      </c>
      <c r="D44" s="115"/>
      <c r="E44" s="115"/>
      <c r="F44" s="115"/>
      <c r="G44" s="115"/>
      <c r="H44" s="115"/>
      <c r="I44" s="115"/>
      <c r="J44" s="115"/>
      <c r="K44" s="115"/>
      <c r="L44" s="115"/>
      <c r="M44" s="115"/>
      <c r="N44" s="115"/>
      <c r="O44" s="115"/>
    </row>
    <row r="45" spans="1:15" ht="29.25" customHeight="1" x14ac:dyDescent="0.25">
      <c r="A45" s="1285"/>
      <c r="B45" s="1286"/>
      <c r="C45" s="115" t="s">
        <v>535</v>
      </c>
      <c r="D45" s="115"/>
      <c r="E45" s="115"/>
      <c r="F45" s="115"/>
      <c r="G45" s="115"/>
      <c r="H45" s="115"/>
      <c r="I45" s="115"/>
      <c r="J45" s="115"/>
      <c r="K45" s="115"/>
      <c r="L45" s="115"/>
      <c r="M45" s="115"/>
      <c r="N45" s="115"/>
      <c r="O45" s="115"/>
    </row>
    <row r="46" spans="1:15" ht="31.5" customHeight="1" x14ac:dyDescent="0.25">
      <c r="A46" s="1285" t="s">
        <v>578</v>
      </c>
      <c r="B46" s="1286" t="s">
        <v>550</v>
      </c>
      <c r="C46" s="115" t="s">
        <v>536</v>
      </c>
      <c r="D46" s="115"/>
      <c r="E46" s="115"/>
      <c r="F46" s="115"/>
      <c r="G46" s="115"/>
      <c r="H46" s="115"/>
      <c r="I46" s="115"/>
      <c r="J46" s="115"/>
      <c r="K46" s="115"/>
      <c r="L46" s="115"/>
      <c r="M46" s="115"/>
      <c r="N46" s="115"/>
      <c r="O46" s="115"/>
    </row>
    <row r="47" spans="1:15" ht="30.75" customHeight="1" x14ac:dyDescent="0.25">
      <c r="A47" s="1285"/>
      <c r="B47" s="1286"/>
      <c r="C47" s="115" t="s">
        <v>535</v>
      </c>
      <c r="D47" s="115"/>
      <c r="E47" s="115"/>
      <c r="F47" s="115"/>
      <c r="G47" s="115"/>
      <c r="H47" s="115"/>
      <c r="I47" s="115"/>
      <c r="J47" s="115"/>
      <c r="K47" s="115"/>
      <c r="L47" s="115"/>
      <c r="M47" s="115"/>
      <c r="N47" s="115"/>
      <c r="O47" s="115"/>
    </row>
    <row r="48" spans="1:15" ht="27.75" customHeight="1" x14ac:dyDescent="0.25">
      <c r="A48" s="1285" t="s">
        <v>579</v>
      </c>
      <c r="B48" s="1286" t="s">
        <v>551</v>
      </c>
      <c r="C48" s="115" t="s">
        <v>536</v>
      </c>
      <c r="D48" s="115"/>
      <c r="E48" s="115"/>
      <c r="F48" s="115"/>
      <c r="G48" s="115"/>
      <c r="H48" s="115"/>
      <c r="I48" s="115"/>
      <c r="J48" s="115"/>
      <c r="K48" s="115"/>
      <c r="L48" s="115"/>
      <c r="M48" s="115"/>
      <c r="N48" s="115"/>
      <c r="O48" s="115"/>
    </row>
    <row r="49" spans="1:15" ht="27.75" customHeight="1" x14ac:dyDescent="0.25">
      <c r="A49" s="1285"/>
      <c r="B49" s="1286"/>
      <c r="C49" s="115" t="s">
        <v>535</v>
      </c>
      <c r="D49" s="115"/>
      <c r="E49" s="115"/>
      <c r="F49" s="115"/>
      <c r="G49" s="115"/>
      <c r="H49" s="115"/>
      <c r="I49" s="115"/>
      <c r="J49" s="100"/>
      <c r="K49" s="100"/>
      <c r="L49" s="100"/>
      <c r="M49" s="100"/>
      <c r="N49" s="100"/>
      <c r="O49" s="100"/>
    </row>
    <row r="50" spans="1:15" ht="102.75" customHeight="1" x14ac:dyDescent="0.25">
      <c r="A50" s="116" t="s">
        <v>543</v>
      </c>
      <c r="B50" s="100" t="s">
        <v>639</v>
      </c>
      <c r="C50" s="115" t="s">
        <v>640</v>
      </c>
      <c r="D50" s="115"/>
      <c r="E50" s="115"/>
      <c r="F50" s="115"/>
      <c r="G50" s="115"/>
      <c r="H50" s="115"/>
      <c r="I50" s="115"/>
      <c r="J50" s="100"/>
      <c r="K50" s="100"/>
      <c r="L50" s="100"/>
      <c r="M50" s="100"/>
      <c r="N50" s="100"/>
      <c r="O50" s="100"/>
    </row>
    <row r="51" spans="1:15" ht="39.75" customHeight="1" x14ac:dyDescent="0.25">
      <c r="A51" s="116" t="s">
        <v>580</v>
      </c>
      <c r="B51" s="100" t="s">
        <v>554</v>
      </c>
      <c r="C51" s="115" t="s">
        <v>640</v>
      </c>
      <c r="D51" s="115"/>
      <c r="E51" s="115"/>
      <c r="F51" s="115"/>
      <c r="G51" s="115"/>
      <c r="H51" s="115"/>
      <c r="I51" s="115"/>
      <c r="J51" s="100"/>
      <c r="K51" s="100"/>
      <c r="L51" s="100"/>
      <c r="M51" s="100"/>
      <c r="N51" s="100"/>
      <c r="O51" s="100"/>
    </row>
    <row r="52" spans="1:15" ht="47.25" x14ac:dyDescent="0.25">
      <c r="A52" s="116" t="s">
        <v>581</v>
      </c>
      <c r="B52" s="100" t="s">
        <v>555</v>
      </c>
      <c r="C52" s="115" t="s">
        <v>640</v>
      </c>
      <c r="D52" s="115"/>
      <c r="E52" s="115"/>
      <c r="F52" s="115"/>
      <c r="G52" s="115"/>
      <c r="H52" s="115"/>
      <c r="I52" s="115"/>
      <c r="J52" s="100"/>
      <c r="K52" s="100"/>
      <c r="L52" s="100"/>
      <c r="M52" s="100"/>
      <c r="N52" s="100"/>
      <c r="O52" s="100"/>
    </row>
    <row r="53" spans="1:15" ht="54.75" customHeight="1" x14ac:dyDescent="0.25">
      <c r="A53" s="116" t="s">
        <v>582</v>
      </c>
      <c r="B53" s="100" t="s">
        <v>556</v>
      </c>
      <c r="C53" s="115" t="s">
        <v>640</v>
      </c>
      <c r="D53" s="115"/>
      <c r="E53" s="115"/>
      <c r="F53" s="115"/>
      <c r="G53" s="115"/>
      <c r="H53" s="115"/>
      <c r="I53" s="115"/>
      <c r="J53" s="100"/>
      <c r="K53" s="100"/>
      <c r="L53" s="100"/>
      <c r="M53" s="100"/>
      <c r="N53" s="100"/>
      <c r="O53" s="100"/>
    </row>
    <row r="54" spans="1:15" ht="48.75" customHeight="1" x14ac:dyDescent="0.25">
      <c r="A54" s="116" t="s">
        <v>583</v>
      </c>
      <c r="B54" s="100" t="s">
        <v>557</v>
      </c>
      <c r="C54" s="115" t="s">
        <v>640</v>
      </c>
      <c r="D54" s="115"/>
      <c r="E54" s="115"/>
      <c r="F54" s="115"/>
      <c r="G54" s="115"/>
      <c r="H54" s="115"/>
      <c r="I54" s="115"/>
      <c r="J54" s="100"/>
      <c r="K54" s="100"/>
      <c r="L54" s="100"/>
      <c r="M54" s="100"/>
      <c r="N54" s="100"/>
      <c r="O54" s="100"/>
    </row>
    <row r="55" spans="1:15" ht="29.25" customHeight="1" x14ac:dyDescent="0.25">
      <c r="A55" s="1285" t="s">
        <v>584</v>
      </c>
      <c r="B55" s="1286" t="s">
        <v>638</v>
      </c>
      <c r="C55" s="115" t="s">
        <v>2</v>
      </c>
      <c r="D55" s="115"/>
      <c r="E55" s="115"/>
      <c r="F55" s="115"/>
      <c r="G55" s="115"/>
      <c r="H55" s="115"/>
      <c r="I55" s="115"/>
      <c r="J55" s="100"/>
      <c r="K55" s="100"/>
      <c r="L55" s="100"/>
      <c r="M55" s="100"/>
      <c r="N55" s="100"/>
      <c r="O55" s="100"/>
    </row>
    <row r="56" spans="1:15" ht="27.75" customHeight="1" x14ac:dyDescent="0.25">
      <c r="A56" s="1285"/>
      <c r="B56" s="1286"/>
      <c r="C56" s="115" t="s">
        <v>530</v>
      </c>
      <c r="D56" s="115"/>
      <c r="E56" s="115"/>
      <c r="F56" s="115"/>
      <c r="G56" s="115"/>
      <c r="H56" s="115"/>
      <c r="I56" s="115"/>
      <c r="J56" s="100"/>
      <c r="K56" s="100"/>
      <c r="L56" s="100"/>
      <c r="M56" s="100"/>
      <c r="N56" s="100"/>
      <c r="O56" s="100"/>
    </row>
    <row r="57" spans="1:15" ht="27.75" customHeight="1" x14ac:dyDescent="0.25">
      <c r="A57" s="1285"/>
      <c r="B57" s="1286"/>
      <c r="C57" s="115" t="s">
        <v>531</v>
      </c>
      <c r="D57" s="115"/>
      <c r="E57" s="115"/>
      <c r="F57" s="115"/>
      <c r="G57" s="115"/>
      <c r="H57" s="115"/>
      <c r="I57" s="115"/>
      <c r="J57" s="100"/>
      <c r="K57" s="100"/>
      <c r="L57" s="100"/>
      <c r="M57" s="100"/>
      <c r="N57" s="100"/>
      <c r="O57" s="100"/>
    </row>
    <row r="58" spans="1:15" ht="24" customHeight="1" x14ac:dyDescent="0.25">
      <c r="A58" s="1285"/>
      <c r="B58" s="1286"/>
      <c r="C58" s="115" t="s">
        <v>641</v>
      </c>
      <c r="D58" s="115"/>
      <c r="E58" s="115"/>
      <c r="F58" s="115"/>
      <c r="G58" s="115"/>
      <c r="H58" s="115"/>
      <c r="I58" s="115"/>
      <c r="J58" s="100"/>
      <c r="K58" s="100"/>
      <c r="L58" s="100"/>
      <c r="M58" s="100"/>
      <c r="N58" s="100"/>
      <c r="O58" s="100"/>
    </row>
    <row r="59" spans="1:15" ht="15.75" x14ac:dyDescent="0.25">
      <c r="A59" s="1285" t="s">
        <v>585</v>
      </c>
      <c r="B59" s="1286" t="s">
        <v>549</v>
      </c>
      <c r="C59" s="115" t="s">
        <v>2</v>
      </c>
      <c r="D59" s="115"/>
      <c r="E59" s="115"/>
      <c r="F59" s="115"/>
      <c r="G59" s="115"/>
      <c r="H59" s="115"/>
      <c r="I59" s="115"/>
      <c r="J59" s="100"/>
      <c r="K59" s="100"/>
      <c r="L59" s="100"/>
      <c r="M59" s="100"/>
      <c r="N59" s="100"/>
      <c r="O59" s="100"/>
    </row>
    <row r="60" spans="1:15" ht="15.75" x14ac:dyDescent="0.25">
      <c r="A60" s="1285"/>
      <c r="B60" s="1286"/>
      <c r="C60" s="115" t="s">
        <v>530</v>
      </c>
      <c r="D60" s="115"/>
      <c r="E60" s="115"/>
      <c r="F60" s="115"/>
      <c r="G60" s="115"/>
      <c r="H60" s="115"/>
      <c r="I60" s="115"/>
      <c r="J60" s="100"/>
      <c r="K60" s="100"/>
      <c r="L60" s="100"/>
      <c r="M60" s="100"/>
      <c r="N60" s="100"/>
      <c r="O60" s="100"/>
    </row>
    <row r="61" spans="1:15" ht="15.75" x14ac:dyDescent="0.25">
      <c r="A61" s="1285"/>
      <c r="B61" s="1286"/>
      <c r="C61" s="115" t="s">
        <v>531</v>
      </c>
      <c r="D61" s="115"/>
      <c r="E61" s="115"/>
      <c r="F61" s="115"/>
      <c r="G61" s="115"/>
      <c r="H61" s="115"/>
      <c r="I61" s="115"/>
      <c r="J61" s="100"/>
      <c r="K61" s="100"/>
      <c r="L61" s="100"/>
      <c r="M61" s="100"/>
      <c r="N61" s="100"/>
      <c r="O61" s="100"/>
    </row>
    <row r="62" spans="1:15" ht="18.75" x14ac:dyDescent="0.25">
      <c r="A62" s="1285"/>
      <c r="B62" s="1286"/>
      <c r="C62" s="115" t="s">
        <v>641</v>
      </c>
      <c r="D62" s="115"/>
      <c r="E62" s="115"/>
      <c r="F62" s="115"/>
      <c r="G62" s="115"/>
      <c r="H62" s="115"/>
      <c r="I62" s="115"/>
      <c r="J62" s="100"/>
      <c r="K62" s="100"/>
      <c r="L62" s="100"/>
      <c r="M62" s="100"/>
      <c r="N62" s="100"/>
      <c r="O62" s="100"/>
    </row>
    <row r="63" spans="1:15" ht="15.75" x14ac:dyDescent="0.25">
      <c r="A63" s="1285" t="s">
        <v>586</v>
      </c>
      <c r="B63" s="1286" t="s">
        <v>550</v>
      </c>
      <c r="C63" s="115" t="s">
        <v>2</v>
      </c>
      <c r="D63" s="115"/>
      <c r="E63" s="115"/>
      <c r="F63" s="115"/>
      <c r="G63" s="115"/>
      <c r="H63" s="115"/>
      <c r="I63" s="115"/>
      <c r="J63" s="100"/>
      <c r="K63" s="100"/>
      <c r="L63" s="100"/>
      <c r="M63" s="100"/>
      <c r="N63" s="100"/>
      <c r="O63" s="100"/>
    </row>
    <row r="64" spans="1:15" ht="15.75" x14ac:dyDescent="0.25">
      <c r="A64" s="1285"/>
      <c r="B64" s="1286"/>
      <c r="C64" s="115" t="s">
        <v>530</v>
      </c>
      <c r="D64" s="115"/>
      <c r="E64" s="115"/>
      <c r="F64" s="115"/>
      <c r="G64" s="115"/>
      <c r="H64" s="115"/>
      <c r="I64" s="115"/>
      <c r="J64" s="100"/>
      <c r="K64" s="100"/>
      <c r="L64" s="100"/>
      <c r="M64" s="100"/>
      <c r="N64" s="100"/>
      <c r="O64" s="100"/>
    </row>
    <row r="65" spans="1:15" ht="15.75" x14ac:dyDescent="0.25">
      <c r="A65" s="1285"/>
      <c r="B65" s="1286"/>
      <c r="C65" s="115" t="s">
        <v>531</v>
      </c>
      <c r="D65" s="115"/>
      <c r="E65" s="115"/>
      <c r="F65" s="115"/>
      <c r="G65" s="115"/>
      <c r="H65" s="115"/>
      <c r="I65" s="115"/>
      <c r="J65" s="100"/>
      <c r="K65" s="100"/>
      <c r="L65" s="100"/>
      <c r="M65" s="100"/>
      <c r="N65" s="100"/>
      <c r="O65" s="100"/>
    </row>
    <row r="66" spans="1:15" ht="18.75" x14ac:dyDescent="0.25">
      <c r="A66" s="1285"/>
      <c r="B66" s="1286"/>
      <c r="C66" s="115" t="s">
        <v>641</v>
      </c>
      <c r="D66" s="115"/>
      <c r="E66" s="115"/>
      <c r="F66" s="115"/>
      <c r="G66" s="115"/>
      <c r="H66" s="115"/>
      <c r="I66" s="115"/>
      <c r="J66" s="100"/>
      <c r="K66" s="100"/>
      <c r="L66" s="100"/>
      <c r="M66" s="100"/>
      <c r="N66" s="100"/>
      <c r="O66" s="100"/>
    </row>
    <row r="67" spans="1:15" ht="15.75" x14ac:dyDescent="0.25">
      <c r="A67" s="1285" t="s">
        <v>587</v>
      </c>
      <c r="B67" s="1286" t="s">
        <v>551</v>
      </c>
      <c r="C67" s="115" t="s">
        <v>2</v>
      </c>
      <c r="D67" s="115"/>
      <c r="E67" s="115"/>
      <c r="F67" s="115"/>
      <c r="G67" s="115"/>
      <c r="H67" s="115"/>
      <c r="I67" s="115"/>
      <c r="J67" s="100"/>
      <c r="K67" s="100"/>
      <c r="L67" s="100"/>
      <c r="M67" s="100"/>
      <c r="N67" s="100"/>
      <c r="O67" s="100"/>
    </row>
    <row r="68" spans="1:15" ht="15.75" x14ac:dyDescent="0.25">
      <c r="A68" s="1285"/>
      <c r="B68" s="1286"/>
      <c r="C68" s="115" t="s">
        <v>530</v>
      </c>
      <c r="D68" s="115"/>
      <c r="E68" s="115"/>
      <c r="F68" s="115"/>
      <c r="G68" s="115"/>
      <c r="H68" s="115"/>
      <c r="I68" s="115"/>
      <c r="J68" s="100"/>
      <c r="K68" s="100"/>
      <c r="L68" s="100"/>
      <c r="M68" s="100"/>
      <c r="N68" s="100"/>
      <c r="O68" s="100"/>
    </row>
    <row r="69" spans="1:15" ht="29.25" customHeight="1" x14ac:dyDescent="0.25">
      <c r="A69" s="1285"/>
      <c r="B69" s="1286"/>
      <c r="C69" s="115" t="s">
        <v>531</v>
      </c>
      <c r="D69" s="115"/>
      <c r="E69" s="115"/>
      <c r="F69" s="115"/>
      <c r="G69" s="115"/>
      <c r="H69" s="115"/>
      <c r="I69" s="115"/>
      <c r="J69" s="100"/>
      <c r="K69" s="100"/>
      <c r="L69" s="100"/>
      <c r="M69" s="100"/>
      <c r="N69" s="100"/>
      <c r="O69" s="100"/>
    </row>
    <row r="70" spans="1:15" ht="25.5" customHeight="1" x14ac:dyDescent="0.25">
      <c r="A70" s="1285"/>
      <c r="B70" s="1286"/>
      <c r="C70" s="115" t="s">
        <v>641</v>
      </c>
      <c r="D70" s="115"/>
      <c r="E70" s="115"/>
      <c r="F70" s="115"/>
      <c r="G70" s="115"/>
      <c r="H70" s="115"/>
      <c r="I70" s="115"/>
      <c r="J70" s="100"/>
      <c r="K70" s="100"/>
      <c r="L70" s="100"/>
      <c r="M70" s="100"/>
      <c r="N70" s="100"/>
      <c r="O70" s="100"/>
    </row>
    <row r="71" spans="1:15" ht="27.75" customHeight="1" x14ac:dyDescent="0.25">
      <c r="A71" s="1285" t="s">
        <v>588</v>
      </c>
      <c r="B71" s="1286" t="s">
        <v>637</v>
      </c>
      <c r="C71" s="115" t="s">
        <v>2</v>
      </c>
      <c r="D71" s="100"/>
      <c r="E71" s="100"/>
      <c r="F71" s="100"/>
      <c r="G71" s="100"/>
      <c r="H71" s="100"/>
      <c r="I71" s="100"/>
      <c r="J71" s="100"/>
      <c r="K71" s="100"/>
      <c r="L71" s="100"/>
      <c r="M71" s="100"/>
      <c r="N71" s="100"/>
      <c r="O71" s="100"/>
    </row>
    <row r="72" spans="1:15" ht="28.5" customHeight="1" x14ac:dyDescent="0.25">
      <c r="A72" s="1285"/>
      <c r="B72" s="1286"/>
      <c r="C72" s="115" t="s">
        <v>530</v>
      </c>
      <c r="D72" s="100"/>
      <c r="E72" s="100"/>
      <c r="F72" s="100"/>
      <c r="G72" s="100"/>
      <c r="H72" s="100"/>
      <c r="I72" s="100"/>
      <c r="J72" s="100"/>
      <c r="K72" s="100"/>
      <c r="L72" s="100"/>
      <c r="M72" s="100"/>
      <c r="N72" s="100"/>
      <c r="O72" s="100"/>
    </row>
    <row r="73" spans="1:15" ht="24" customHeight="1" x14ac:dyDescent="0.25">
      <c r="A73" s="1285"/>
      <c r="B73" s="1286"/>
      <c r="C73" s="115" t="s">
        <v>531</v>
      </c>
      <c r="D73" s="100"/>
      <c r="E73" s="100"/>
      <c r="F73" s="100"/>
      <c r="G73" s="100"/>
      <c r="H73" s="100"/>
      <c r="I73" s="100"/>
      <c r="J73" s="100"/>
      <c r="K73" s="100"/>
      <c r="L73" s="100"/>
      <c r="M73" s="100"/>
      <c r="N73" s="100"/>
      <c r="O73" s="100"/>
    </row>
    <row r="74" spans="1:15" ht="21.75" customHeight="1" x14ac:dyDescent="0.25">
      <c r="A74" s="1285"/>
      <c r="B74" s="1286"/>
      <c r="C74" s="115" t="s">
        <v>641</v>
      </c>
      <c r="D74" s="100"/>
      <c r="E74" s="100"/>
      <c r="F74" s="100"/>
      <c r="G74" s="100"/>
      <c r="H74" s="100"/>
      <c r="I74" s="100"/>
      <c r="J74" s="100"/>
      <c r="K74" s="100"/>
      <c r="L74" s="100"/>
      <c r="M74" s="100"/>
      <c r="N74" s="100"/>
      <c r="O74" s="100"/>
    </row>
    <row r="75" spans="1:15" ht="15.75" x14ac:dyDescent="0.25">
      <c r="A75" s="1285" t="s">
        <v>589</v>
      </c>
      <c r="B75" s="1286" t="s">
        <v>549</v>
      </c>
      <c r="C75" s="115" t="s">
        <v>2</v>
      </c>
      <c r="D75" s="115"/>
      <c r="E75" s="115"/>
      <c r="F75" s="115"/>
      <c r="G75" s="115"/>
      <c r="H75" s="115"/>
      <c r="I75" s="115"/>
      <c r="J75" s="100"/>
      <c r="K75" s="100"/>
      <c r="L75" s="100"/>
      <c r="M75" s="100"/>
      <c r="N75" s="100"/>
      <c r="O75" s="100"/>
    </row>
    <row r="76" spans="1:15" ht="15.75" x14ac:dyDescent="0.25">
      <c r="A76" s="1285"/>
      <c r="B76" s="1286"/>
      <c r="C76" s="115" t="s">
        <v>530</v>
      </c>
      <c r="D76" s="115"/>
      <c r="E76" s="115"/>
      <c r="F76" s="115"/>
      <c r="G76" s="115"/>
      <c r="H76" s="115"/>
      <c r="I76" s="115"/>
      <c r="J76" s="100"/>
      <c r="K76" s="100"/>
      <c r="L76" s="100"/>
      <c r="M76" s="100"/>
      <c r="N76" s="100"/>
      <c r="O76" s="100"/>
    </row>
    <row r="77" spans="1:15" ht="15.75" x14ac:dyDescent="0.25">
      <c r="A77" s="1285"/>
      <c r="B77" s="1286"/>
      <c r="C77" s="115" t="s">
        <v>531</v>
      </c>
      <c r="D77" s="115"/>
      <c r="E77" s="115"/>
      <c r="F77" s="115"/>
      <c r="G77" s="115"/>
      <c r="H77" s="115"/>
      <c r="I77" s="115"/>
      <c r="J77" s="100"/>
      <c r="K77" s="100"/>
      <c r="L77" s="100"/>
      <c r="M77" s="100"/>
      <c r="N77" s="100"/>
      <c r="O77" s="100"/>
    </row>
    <row r="78" spans="1:15" ht="15.75" x14ac:dyDescent="0.25">
      <c r="A78" s="1285"/>
      <c r="B78" s="1286"/>
      <c r="C78" s="115" t="s">
        <v>148</v>
      </c>
      <c r="D78" s="115"/>
      <c r="E78" s="115"/>
      <c r="F78" s="115"/>
      <c r="G78" s="115"/>
      <c r="H78" s="115"/>
      <c r="I78" s="115"/>
      <c r="J78" s="100"/>
      <c r="K78" s="100"/>
      <c r="L78" s="100"/>
      <c r="M78" s="100"/>
      <c r="N78" s="100"/>
      <c r="O78" s="100"/>
    </row>
    <row r="79" spans="1:15" ht="15.75" x14ac:dyDescent="0.25">
      <c r="A79" s="1285" t="s">
        <v>590</v>
      </c>
      <c r="B79" s="1286" t="s">
        <v>550</v>
      </c>
      <c r="C79" s="115" t="s">
        <v>2</v>
      </c>
      <c r="D79" s="115"/>
      <c r="E79" s="115"/>
      <c r="F79" s="115"/>
      <c r="G79" s="115"/>
      <c r="H79" s="115"/>
      <c r="I79" s="115"/>
      <c r="J79" s="100"/>
      <c r="K79" s="100"/>
      <c r="L79" s="100"/>
      <c r="M79" s="100"/>
      <c r="N79" s="100"/>
      <c r="O79" s="100"/>
    </row>
    <row r="80" spans="1:15" ht="15.75" x14ac:dyDescent="0.25">
      <c r="A80" s="1285"/>
      <c r="B80" s="1286"/>
      <c r="C80" s="115" t="s">
        <v>530</v>
      </c>
      <c r="D80" s="115"/>
      <c r="E80" s="115"/>
      <c r="F80" s="115"/>
      <c r="G80" s="115"/>
      <c r="H80" s="115"/>
      <c r="I80" s="115"/>
      <c r="J80" s="100"/>
      <c r="K80" s="100"/>
      <c r="L80" s="100"/>
      <c r="M80" s="100"/>
      <c r="N80" s="100"/>
      <c r="O80" s="100"/>
    </row>
    <row r="81" spans="1:15" ht="15.75" x14ac:dyDescent="0.25">
      <c r="A81" s="1285"/>
      <c r="B81" s="1286"/>
      <c r="C81" s="115" t="s">
        <v>531</v>
      </c>
      <c r="D81" s="115"/>
      <c r="E81" s="115"/>
      <c r="F81" s="115"/>
      <c r="G81" s="115"/>
      <c r="H81" s="115"/>
      <c r="I81" s="115"/>
      <c r="J81" s="100"/>
      <c r="K81" s="100"/>
      <c r="L81" s="100"/>
      <c r="M81" s="100"/>
      <c r="N81" s="100"/>
      <c r="O81" s="100"/>
    </row>
    <row r="82" spans="1:15" ht="18.75" x14ac:dyDescent="0.25">
      <c r="A82" s="1285"/>
      <c r="B82" s="1286"/>
      <c r="C82" s="115" t="s">
        <v>641</v>
      </c>
      <c r="D82" s="115"/>
      <c r="E82" s="115"/>
      <c r="F82" s="115"/>
      <c r="G82" s="115"/>
      <c r="H82" s="115"/>
      <c r="I82" s="115"/>
      <c r="J82" s="100"/>
      <c r="K82" s="100"/>
      <c r="L82" s="100"/>
      <c r="M82" s="100"/>
      <c r="N82" s="100"/>
      <c r="O82" s="100"/>
    </row>
    <row r="83" spans="1:15" ht="15.75" x14ac:dyDescent="0.25">
      <c r="A83" s="1285" t="s">
        <v>633</v>
      </c>
      <c r="B83" s="1286" t="s">
        <v>551</v>
      </c>
      <c r="C83" s="115" t="s">
        <v>2</v>
      </c>
      <c r="D83" s="115"/>
      <c r="E83" s="115"/>
      <c r="F83" s="115"/>
      <c r="G83" s="115"/>
      <c r="H83" s="115"/>
      <c r="I83" s="115"/>
      <c r="J83" s="100"/>
      <c r="K83" s="100"/>
      <c r="L83" s="100"/>
      <c r="M83" s="100"/>
      <c r="N83" s="100"/>
      <c r="O83" s="100"/>
    </row>
    <row r="84" spans="1:15" ht="15.75" x14ac:dyDescent="0.25">
      <c r="A84" s="1285"/>
      <c r="B84" s="1286"/>
      <c r="C84" s="115" t="s">
        <v>530</v>
      </c>
      <c r="D84" s="115"/>
      <c r="E84" s="115"/>
      <c r="F84" s="115"/>
      <c r="G84" s="115"/>
      <c r="H84" s="115"/>
      <c r="I84" s="115"/>
      <c r="J84" s="100"/>
      <c r="K84" s="100"/>
      <c r="L84" s="100"/>
      <c r="M84" s="100"/>
      <c r="N84" s="100"/>
      <c r="O84" s="100"/>
    </row>
    <row r="85" spans="1:15" ht="15.75" x14ac:dyDescent="0.25">
      <c r="A85" s="1285"/>
      <c r="B85" s="1286"/>
      <c r="C85" s="115" t="s">
        <v>531</v>
      </c>
      <c r="D85" s="115"/>
      <c r="E85" s="115"/>
      <c r="F85" s="115"/>
      <c r="G85" s="115"/>
      <c r="H85" s="115"/>
      <c r="I85" s="115"/>
      <c r="J85" s="100"/>
      <c r="K85" s="100"/>
      <c r="L85" s="100"/>
      <c r="M85" s="100"/>
      <c r="N85" s="100"/>
      <c r="O85" s="100"/>
    </row>
    <row r="86" spans="1:15" ht="20.25" customHeight="1" x14ac:dyDescent="0.25">
      <c r="A86" s="1285"/>
      <c r="B86" s="1286"/>
      <c r="C86" s="115" t="s">
        <v>641</v>
      </c>
      <c r="D86" s="115"/>
      <c r="E86" s="115"/>
      <c r="F86" s="115"/>
      <c r="G86" s="115"/>
      <c r="H86" s="115"/>
      <c r="I86" s="115"/>
      <c r="J86" s="100"/>
      <c r="K86" s="100"/>
      <c r="L86" s="100"/>
      <c r="M86" s="100"/>
      <c r="N86" s="100"/>
      <c r="O86" s="100"/>
    </row>
    <row r="87" spans="1:15" ht="89.25" customHeight="1" x14ac:dyDescent="0.25">
      <c r="A87" s="116" t="s">
        <v>539</v>
      </c>
      <c r="B87" s="112" t="s">
        <v>675</v>
      </c>
      <c r="C87" s="115" t="s">
        <v>621</v>
      </c>
      <c r="D87" s="115" t="s">
        <v>621</v>
      </c>
      <c r="E87" s="115" t="s">
        <v>621</v>
      </c>
      <c r="F87" s="115" t="s">
        <v>621</v>
      </c>
      <c r="G87" s="115" t="s">
        <v>621</v>
      </c>
      <c r="H87" s="115" t="s">
        <v>621</v>
      </c>
      <c r="I87" s="115" t="s">
        <v>621</v>
      </c>
      <c r="J87" s="115" t="s">
        <v>621</v>
      </c>
      <c r="K87" s="115" t="s">
        <v>621</v>
      </c>
      <c r="L87" s="115" t="s">
        <v>621</v>
      </c>
      <c r="M87" s="115" t="s">
        <v>621</v>
      </c>
      <c r="N87" s="115" t="s">
        <v>621</v>
      </c>
      <c r="O87" s="115" t="s">
        <v>621</v>
      </c>
    </row>
    <row r="88" spans="1:15" ht="50.25" customHeight="1" x14ac:dyDescent="0.25">
      <c r="A88" s="1285" t="s">
        <v>544</v>
      </c>
      <c r="B88" s="1286" t="s">
        <v>636</v>
      </c>
      <c r="C88" s="115" t="s">
        <v>536</v>
      </c>
      <c r="D88" s="115"/>
      <c r="E88" s="115"/>
      <c r="F88" s="115"/>
      <c r="G88" s="115"/>
      <c r="H88" s="115"/>
      <c r="I88" s="115"/>
      <c r="J88" s="115"/>
      <c r="K88" s="115"/>
      <c r="L88" s="115"/>
      <c r="M88" s="115"/>
      <c r="N88" s="115"/>
      <c r="O88" s="115"/>
    </row>
    <row r="89" spans="1:15" ht="40.5" customHeight="1" x14ac:dyDescent="0.25">
      <c r="A89" s="1285"/>
      <c r="B89" s="1286"/>
      <c r="C89" s="115" t="s">
        <v>535</v>
      </c>
      <c r="D89" s="115"/>
      <c r="E89" s="115"/>
      <c r="F89" s="115"/>
      <c r="G89" s="115"/>
      <c r="H89" s="115"/>
      <c r="I89" s="115"/>
      <c r="J89" s="115"/>
      <c r="K89" s="115"/>
      <c r="L89" s="115"/>
      <c r="M89" s="115"/>
      <c r="N89" s="115"/>
      <c r="O89" s="115"/>
    </row>
    <row r="90" spans="1:15" ht="33.75" customHeight="1" x14ac:dyDescent="0.25">
      <c r="A90" s="1285" t="s">
        <v>591</v>
      </c>
      <c r="B90" s="1286" t="s">
        <v>534</v>
      </c>
      <c r="C90" s="115" t="s">
        <v>536</v>
      </c>
      <c r="D90" s="115"/>
      <c r="E90" s="115"/>
      <c r="F90" s="115"/>
      <c r="G90" s="115"/>
      <c r="H90" s="115"/>
      <c r="I90" s="115"/>
      <c r="J90" s="115"/>
      <c r="K90" s="115"/>
      <c r="L90" s="115"/>
      <c r="M90" s="115"/>
      <c r="N90" s="115"/>
      <c r="O90" s="115"/>
    </row>
    <row r="91" spans="1:15" ht="25.5" customHeight="1" x14ac:dyDescent="0.25">
      <c r="A91" s="1285"/>
      <c r="B91" s="1286"/>
      <c r="C91" s="115" t="s">
        <v>535</v>
      </c>
      <c r="D91" s="115"/>
      <c r="E91" s="115"/>
      <c r="F91" s="115"/>
      <c r="G91" s="115"/>
      <c r="H91" s="115"/>
      <c r="I91" s="115"/>
      <c r="J91" s="115"/>
      <c r="K91" s="115"/>
      <c r="L91" s="115"/>
      <c r="M91" s="115"/>
      <c r="N91" s="115"/>
      <c r="O91" s="115"/>
    </row>
    <row r="92" spans="1:15" ht="25.5" customHeight="1" x14ac:dyDescent="0.25">
      <c r="A92" s="1285" t="s">
        <v>592</v>
      </c>
      <c r="B92" s="1286" t="s">
        <v>549</v>
      </c>
      <c r="C92" s="115" t="s">
        <v>536</v>
      </c>
      <c r="D92" s="115"/>
      <c r="E92" s="115"/>
      <c r="F92" s="115"/>
      <c r="G92" s="115"/>
      <c r="H92" s="115"/>
      <c r="I92" s="115"/>
      <c r="J92" s="115"/>
      <c r="K92" s="115"/>
      <c r="L92" s="115"/>
      <c r="M92" s="115"/>
      <c r="N92" s="115"/>
      <c r="O92" s="115"/>
    </row>
    <row r="93" spans="1:15" ht="24" customHeight="1" x14ac:dyDescent="0.25">
      <c r="A93" s="1285"/>
      <c r="B93" s="1286"/>
      <c r="C93" s="115" t="s">
        <v>535</v>
      </c>
      <c r="D93" s="115"/>
      <c r="E93" s="115"/>
      <c r="F93" s="115"/>
      <c r="G93" s="115"/>
      <c r="H93" s="115"/>
      <c r="I93" s="115"/>
      <c r="J93" s="115"/>
      <c r="K93" s="115"/>
      <c r="L93" s="115"/>
      <c r="M93" s="115"/>
      <c r="N93" s="115"/>
      <c r="O93" s="115"/>
    </row>
    <row r="94" spans="1:15" ht="25.5" customHeight="1" x14ac:dyDescent="0.25">
      <c r="A94" s="1285" t="s">
        <v>593</v>
      </c>
      <c r="B94" s="1286" t="s">
        <v>550</v>
      </c>
      <c r="C94" s="115" t="s">
        <v>536</v>
      </c>
      <c r="D94" s="115"/>
      <c r="E94" s="115"/>
      <c r="F94" s="115"/>
      <c r="G94" s="115"/>
      <c r="H94" s="115"/>
      <c r="I94" s="115"/>
      <c r="J94" s="115"/>
      <c r="K94" s="115"/>
      <c r="L94" s="115"/>
      <c r="M94" s="115"/>
      <c r="N94" s="115"/>
      <c r="O94" s="115"/>
    </row>
    <row r="95" spans="1:15" ht="27.75" customHeight="1" x14ac:dyDescent="0.25">
      <c r="A95" s="1285"/>
      <c r="B95" s="1286"/>
      <c r="C95" s="115" t="s">
        <v>535</v>
      </c>
      <c r="D95" s="115"/>
      <c r="E95" s="115"/>
      <c r="F95" s="115"/>
      <c r="G95" s="115"/>
      <c r="H95" s="115"/>
      <c r="I95" s="115"/>
      <c r="J95" s="115"/>
      <c r="K95" s="115"/>
      <c r="L95" s="115"/>
      <c r="M95" s="115"/>
      <c r="N95" s="115"/>
      <c r="O95" s="115"/>
    </row>
    <row r="96" spans="1:15" ht="28.5" customHeight="1" x14ac:dyDescent="0.25">
      <c r="A96" s="1285" t="s">
        <v>594</v>
      </c>
      <c r="B96" s="1286" t="s">
        <v>551</v>
      </c>
      <c r="C96" s="115" t="s">
        <v>536</v>
      </c>
      <c r="D96" s="115"/>
      <c r="E96" s="115"/>
      <c r="F96" s="115"/>
      <c r="G96" s="115"/>
      <c r="H96" s="115"/>
      <c r="I96" s="115"/>
      <c r="J96" s="115"/>
      <c r="K96" s="115"/>
      <c r="L96" s="115"/>
      <c r="M96" s="115"/>
      <c r="N96" s="115"/>
      <c r="O96" s="115"/>
    </row>
    <row r="97" spans="1:15" ht="28.5" customHeight="1" x14ac:dyDescent="0.25">
      <c r="A97" s="1285"/>
      <c r="B97" s="1286"/>
      <c r="C97" s="115" t="s">
        <v>535</v>
      </c>
      <c r="D97" s="115"/>
      <c r="E97" s="115"/>
      <c r="F97" s="115"/>
      <c r="G97" s="115"/>
      <c r="H97" s="115"/>
      <c r="I97" s="115"/>
      <c r="J97" s="115"/>
      <c r="K97" s="115"/>
      <c r="L97" s="115"/>
      <c r="M97" s="115"/>
      <c r="N97" s="115"/>
      <c r="O97" s="115"/>
    </row>
    <row r="98" spans="1:15" ht="47.25" customHeight="1" x14ac:dyDescent="0.25">
      <c r="A98" s="1285" t="s">
        <v>545</v>
      </c>
      <c r="B98" s="1286" t="s">
        <v>552</v>
      </c>
      <c r="C98" s="115" t="s">
        <v>536</v>
      </c>
      <c r="D98" s="115"/>
      <c r="E98" s="115"/>
      <c r="F98" s="115"/>
      <c r="G98" s="115"/>
      <c r="H98" s="115"/>
      <c r="I98" s="115"/>
      <c r="J98" s="115"/>
      <c r="K98" s="115"/>
      <c r="L98" s="115"/>
      <c r="M98" s="115"/>
      <c r="N98" s="115"/>
      <c r="O98" s="115"/>
    </row>
    <row r="99" spans="1:15" ht="44.25" customHeight="1" x14ac:dyDescent="0.25">
      <c r="A99" s="1285"/>
      <c r="B99" s="1286"/>
      <c r="C99" s="115" t="s">
        <v>535</v>
      </c>
      <c r="D99" s="115"/>
      <c r="E99" s="115"/>
      <c r="F99" s="115"/>
      <c r="G99" s="115"/>
      <c r="H99" s="115"/>
      <c r="I99" s="115"/>
      <c r="J99" s="115"/>
      <c r="K99" s="115"/>
      <c r="L99" s="115"/>
      <c r="M99" s="115"/>
      <c r="N99" s="115"/>
      <c r="O99" s="115"/>
    </row>
    <row r="100" spans="1:15" ht="25.5" customHeight="1" x14ac:dyDescent="0.25">
      <c r="A100" s="1285" t="s">
        <v>595</v>
      </c>
      <c r="B100" s="1286" t="s">
        <v>534</v>
      </c>
      <c r="C100" s="115" t="s">
        <v>536</v>
      </c>
      <c r="D100" s="115"/>
      <c r="E100" s="115"/>
      <c r="F100" s="115"/>
      <c r="G100" s="115"/>
      <c r="H100" s="115"/>
      <c r="I100" s="115"/>
      <c r="J100" s="115"/>
      <c r="K100" s="115"/>
      <c r="L100" s="115"/>
      <c r="M100" s="115"/>
      <c r="N100" s="115"/>
      <c r="O100" s="115"/>
    </row>
    <row r="101" spans="1:15" ht="24.75" customHeight="1" x14ac:dyDescent="0.25">
      <c r="A101" s="1285"/>
      <c r="B101" s="1286"/>
      <c r="C101" s="115" t="s">
        <v>535</v>
      </c>
      <c r="D101" s="115"/>
      <c r="E101" s="115"/>
      <c r="F101" s="115"/>
      <c r="G101" s="115"/>
      <c r="H101" s="115"/>
      <c r="I101" s="115"/>
      <c r="J101" s="115"/>
      <c r="K101" s="115"/>
      <c r="L101" s="115"/>
      <c r="M101" s="115"/>
      <c r="N101" s="115"/>
      <c r="O101" s="115"/>
    </row>
    <row r="102" spans="1:15" ht="24" customHeight="1" x14ac:dyDescent="0.25">
      <c r="A102" s="1285" t="s">
        <v>596</v>
      </c>
      <c r="B102" s="1286" t="s">
        <v>549</v>
      </c>
      <c r="C102" s="115" t="s">
        <v>536</v>
      </c>
      <c r="D102" s="115"/>
      <c r="E102" s="115"/>
      <c r="F102" s="115"/>
      <c r="G102" s="115"/>
      <c r="H102" s="115"/>
      <c r="I102" s="115"/>
      <c r="J102" s="115"/>
      <c r="K102" s="115"/>
      <c r="L102" s="115"/>
      <c r="M102" s="115"/>
      <c r="N102" s="115"/>
      <c r="O102" s="115"/>
    </row>
    <row r="103" spans="1:15" ht="24" customHeight="1" x14ac:dyDescent="0.25">
      <c r="A103" s="1285"/>
      <c r="B103" s="1286"/>
      <c r="C103" s="115" t="s">
        <v>535</v>
      </c>
      <c r="D103" s="115"/>
      <c r="E103" s="115"/>
      <c r="F103" s="115"/>
      <c r="G103" s="115"/>
      <c r="H103" s="115"/>
      <c r="I103" s="115"/>
      <c r="J103" s="115"/>
      <c r="K103" s="115"/>
      <c r="L103" s="115"/>
      <c r="M103" s="115"/>
      <c r="N103" s="115"/>
      <c r="O103" s="115"/>
    </row>
    <row r="104" spans="1:15" ht="30" customHeight="1" x14ac:dyDescent="0.25">
      <c r="A104" s="1285" t="s">
        <v>597</v>
      </c>
      <c r="B104" s="1286" t="s">
        <v>550</v>
      </c>
      <c r="C104" s="115" t="s">
        <v>536</v>
      </c>
      <c r="D104" s="115"/>
      <c r="E104" s="115"/>
      <c r="F104" s="115"/>
      <c r="G104" s="115"/>
      <c r="H104" s="115"/>
      <c r="I104" s="115"/>
      <c r="J104" s="115"/>
      <c r="K104" s="115"/>
      <c r="L104" s="115"/>
      <c r="M104" s="115"/>
      <c r="N104" s="115"/>
      <c r="O104" s="115"/>
    </row>
    <row r="105" spans="1:15" ht="30" customHeight="1" x14ac:dyDescent="0.25">
      <c r="A105" s="1285"/>
      <c r="B105" s="1286"/>
      <c r="C105" s="115" t="s">
        <v>535</v>
      </c>
      <c r="D105" s="115"/>
      <c r="E105" s="115"/>
      <c r="F105" s="115"/>
      <c r="G105" s="115"/>
      <c r="H105" s="115"/>
      <c r="I105" s="115"/>
      <c r="J105" s="115"/>
      <c r="K105" s="115"/>
      <c r="L105" s="115"/>
      <c r="M105" s="115"/>
      <c r="N105" s="115"/>
      <c r="O105" s="115"/>
    </row>
    <row r="106" spans="1:15" ht="42.75" customHeight="1" x14ac:dyDescent="0.25">
      <c r="A106" s="1285" t="s">
        <v>598</v>
      </c>
      <c r="B106" s="1286" t="s">
        <v>551</v>
      </c>
      <c r="C106" s="115" t="s">
        <v>536</v>
      </c>
      <c r="D106" s="115"/>
      <c r="E106" s="115"/>
      <c r="F106" s="115"/>
      <c r="G106" s="115"/>
      <c r="H106" s="115"/>
      <c r="I106" s="115"/>
      <c r="J106" s="115"/>
      <c r="K106" s="115"/>
      <c r="L106" s="115"/>
      <c r="M106" s="115"/>
      <c r="N106" s="115"/>
      <c r="O106" s="115"/>
    </row>
    <row r="107" spans="1:15" ht="31.5" customHeight="1" x14ac:dyDescent="0.25">
      <c r="A107" s="1285"/>
      <c r="B107" s="1286"/>
      <c r="C107" s="115" t="s">
        <v>535</v>
      </c>
      <c r="D107" s="115"/>
      <c r="E107" s="115"/>
      <c r="F107" s="115"/>
      <c r="G107" s="115"/>
      <c r="H107" s="115"/>
      <c r="I107" s="115"/>
      <c r="J107" s="115"/>
      <c r="K107" s="115"/>
      <c r="L107" s="115"/>
      <c r="M107" s="115"/>
      <c r="N107" s="115"/>
      <c r="O107" s="115"/>
    </row>
    <row r="108" spans="1:15" ht="36" customHeight="1" x14ac:dyDescent="0.25">
      <c r="A108" s="1285" t="s">
        <v>546</v>
      </c>
      <c r="B108" s="1286" t="s">
        <v>553</v>
      </c>
      <c r="C108" s="115" t="s">
        <v>536</v>
      </c>
      <c r="D108" s="115"/>
      <c r="E108" s="115"/>
      <c r="F108" s="115"/>
      <c r="G108" s="115"/>
      <c r="H108" s="115"/>
      <c r="I108" s="115"/>
      <c r="J108" s="115"/>
      <c r="K108" s="115"/>
      <c r="L108" s="115"/>
      <c r="M108" s="115"/>
      <c r="N108" s="115"/>
      <c r="O108" s="115"/>
    </row>
    <row r="109" spans="1:15" ht="35.25" customHeight="1" x14ac:dyDescent="0.25">
      <c r="A109" s="1285"/>
      <c r="B109" s="1286"/>
      <c r="C109" s="115" t="s">
        <v>535</v>
      </c>
      <c r="D109" s="115"/>
      <c r="E109" s="115"/>
      <c r="F109" s="115"/>
      <c r="G109" s="115"/>
      <c r="H109" s="115"/>
      <c r="I109" s="115"/>
      <c r="J109" s="115"/>
      <c r="K109" s="115"/>
      <c r="L109" s="115"/>
      <c r="M109" s="115"/>
      <c r="N109" s="115"/>
      <c r="O109" s="115"/>
    </row>
    <row r="110" spans="1:15" ht="24" customHeight="1" x14ac:dyDescent="0.25">
      <c r="A110" s="1285" t="s">
        <v>599</v>
      </c>
      <c r="B110" s="1286" t="s">
        <v>534</v>
      </c>
      <c r="C110" s="115" t="s">
        <v>536</v>
      </c>
      <c r="D110" s="115"/>
      <c r="E110" s="115"/>
      <c r="F110" s="115"/>
      <c r="G110" s="115"/>
      <c r="H110" s="115"/>
      <c r="I110" s="115"/>
      <c r="J110" s="115"/>
      <c r="K110" s="115"/>
      <c r="L110" s="115"/>
      <c r="M110" s="115"/>
      <c r="N110" s="115"/>
      <c r="O110" s="115"/>
    </row>
    <row r="111" spans="1:15" ht="24.75" customHeight="1" x14ac:dyDescent="0.25">
      <c r="A111" s="1285"/>
      <c r="B111" s="1286"/>
      <c r="C111" s="115" t="s">
        <v>535</v>
      </c>
      <c r="D111" s="115"/>
      <c r="E111" s="115"/>
      <c r="F111" s="115"/>
      <c r="G111" s="115"/>
      <c r="H111" s="115"/>
      <c r="I111" s="115"/>
      <c r="J111" s="115"/>
      <c r="K111" s="115"/>
      <c r="L111" s="115"/>
      <c r="M111" s="115"/>
      <c r="N111" s="115"/>
      <c r="O111" s="115"/>
    </row>
    <row r="112" spans="1:15" ht="25.5" customHeight="1" x14ac:dyDescent="0.25">
      <c r="A112" s="1285" t="s">
        <v>600</v>
      </c>
      <c r="B112" s="1286" t="s">
        <v>549</v>
      </c>
      <c r="C112" s="115" t="s">
        <v>536</v>
      </c>
      <c r="D112" s="115"/>
      <c r="E112" s="115"/>
      <c r="F112" s="115"/>
      <c r="G112" s="115"/>
      <c r="H112" s="115"/>
      <c r="I112" s="115"/>
      <c r="J112" s="115"/>
      <c r="K112" s="115"/>
      <c r="L112" s="115"/>
      <c r="M112" s="115"/>
      <c r="N112" s="115"/>
      <c r="O112" s="115"/>
    </row>
    <row r="113" spans="1:15" ht="24.75" customHeight="1" x14ac:dyDescent="0.25">
      <c r="A113" s="1285"/>
      <c r="B113" s="1286"/>
      <c r="C113" s="115" t="s">
        <v>535</v>
      </c>
      <c r="D113" s="115"/>
      <c r="E113" s="115"/>
      <c r="F113" s="115"/>
      <c r="G113" s="115"/>
      <c r="H113" s="115"/>
      <c r="I113" s="115"/>
      <c r="J113" s="115"/>
      <c r="K113" s="115"/>
      <c r="L113" s="115"/>
      <c r="M113" s="115"/>
      <c r="N113" s="115"/>
      <c r="O113" s="115"/>
    </row>
    <row r="114" spans="1:15" ht="28.5" customHeight="1" x14ac:dyDescent="0.25">
      <c r="A114" s="1285" t="s">
        <v>601</v>
      </c>
      <c r="B114" s="1286" t="s">
        <v>550</v>
      </c>
      <c r="C114" s="115" t="s">
        <v>536</v>
      </c>
      <c r="D114" s="115"/>
      <c r="E114" s="115"/>
      <c r="F114" s="115"/>
      <c r="G114" s="115"/>
      <c r="H114" s="115"/>
      <c r="I114" s="115"/>
      <c r="J114" s="115"/>
      <c r="K114" s="115"/>
      <c r="L114" s="115"/>
      <c r="M114" s="115"/>
      <c r="N114" s="115"/>
      <c r="O114" s="115"/>
    </row>
    <row r="115" spans="1:15" ht="31.5" customHeight="1" x14ac:dyDescent="0.25">
      <c r="A115" s="1285"/>
      <c r="B115" s="1286"/>
      <c r="C115" s="115" t="s">
        <v>535</v>
      </c>
      <c r="D115" s="115"/>
      <c r="E115" s="115"/>
      <c r="F115" s="115"/>
      <c r="G115" s="115"/>
      <c r="H115" s="115"/>
      <c r="I115" s="115"/>
      <c r="J115" s="115"/>
      <c r="K115" s="115"/>
      <c r="L115" s="115"/>
      <c r="M115" s="115"/>
      <c r="N115" s="115"/>
      <c r="O115" s="115"/>
    </row>
    <row r="116" spans="1:15" ht="18.75" x14ac:dyDescent="0.25">
      <c r="A116" s="1285" t="s">
        <v>602</v>
      </c>
      <c r="B116" s="1286" t="s">
        <v>551</v>
      </c>
      <c r="C116" s="115" t="s">
        <v>536</v>
      </c>
      <c r="D116" s="115"/>
      <c r="E116" s="115"/>
      <c r="F116" s="115"/>
      <c r="G116" s="115"/>
      <c r="H116" s="115"/>
      <c r="I116" s="115"/>
      <c r="J116" s="115"/>
      <c r="K116" s="115"/>
      <c r="L116" s="115"/>
      <c r="M116" s="115"/>
      <c r="N116" s="115"/>
      <c r="O116" s="115"/>
    </row>
    <row r="117" spans="1:15" ht="38.25" customHeight="1" x14ac:dyDescent="0.25">
      <c r="A117" s="1285"/>
      <c r="B117" s="1286"/>
      <c r="C117" s="115" t="s">
        <v>535</v>
      </c>
      <c r="D117" s="115"/>
      <c r="E117" s="115"/>
      <c r="F117" s="115"/>
      <c r="G117" s="115"/>
      <c r="H117" s="115"/>
      <c r="I117" s="115"/>
      <c r="J117" s="100"/>
      <c r="K117" s="100"/>
      <c r="L117" s="100"/>
      <c r="M117" s="100"/>
      <c r="N117" s="100"/>
      <c r="O117" s="100"/>
    </row>
    <row r="118" spans="1:15" ht="90" customHeight="1" x14ac:dyDescent="0.25">
      <c r="A118" s="116" t="s">
        <v>547</v>
      </c>
      <c r="B118" s="100" t="s">
        <v>639</v>
      </c>
      <c r="C118" s="115" t="s">
        <v>640</v>
      </c>
      <c r="D118" s="115"/>
      <c r="E118" s="115"/>
      <c r="F118" s="115"/>
      <c r="G118" s="115"/>
      <c r="H118" s="115"/>
      <c r="I118" s="115"/>
      <c r="J118" s="100"/>
      <c r="K118" s="100"/>
      <c r="L118" s="100"/>
      <c r="M118" s="100"/>
      <c r="N118" s="100"/>
      <c r="O118" s="100"/>
    </row>
    <row r="119" spans="1:15" ht="38.25" customHeight="1" x14ac:dyDescent="0.25">
      <c r="A119" s="116" t="s">
        <v>603</v>
      </c>
      <c r="B119" s="100" t="s">
        <v>554</v>
      </c>
      <c r="C119" s="115" t="s">
        <v>640</v>
      </c>
      <c r="D119" s="115"/>
      <c r="E119" s="115"/>
      <c r="F119" s="115"/>
      <c r="G119" s="115"/>
      <c r="H119" s="115"/>
      <c r="I119" s="115"/>
      <c r="J119" s="100"/>
      <c r="K119" s="100"/>
      <c r="L119" s="100"/>
      <c r="M119" s="100"/>
      <c r="N119" s="100"/>
      <c r="O119" s="100"/>
    </row>
    <row r="120" spans="1:15" ht="60.75" customHeight="1" x14ac:dyDescent="0.25">
      <c r="A120" s="116" t="s">
        <v>604</v>
      </c>
      <c r="B120" s="100" t="s">
        <v>555</v>
      </c>
      <c r="C120" s="115" t="s">
        <v>640</v>
      </c>
      <c r="D120" s="115"/>
      <c r="E120" s="115"/>
      <c r="F120" s="115"/>
      <c r="G120" s="115"/>
      <c r="H120" s="115"/>
      <c r="I120" s="115"/>
      <c r="J120" s="100"/>
      <c r="K120" s="100"/>
      <c r="L120" s="100"/>
      <c r="M120" s="100"/>
      <c r="N120" s="100"/>
      <c r="O120" s="100"/>
    </row>
    <row r="121" spans="1:15" ht="55.5" customHeight="1" x14ac:dyDescent="0.25">
      <c r="A121" s="116" t="s">
        <v>605</v>
      </c>
      <c r="B121" s="100" t="s">
        <v>556</v>
      </c>
      <c r="C121" s="115" t="s">
        <v>640</v>
      </c>
      <c r="D121" s="115"/>
      <c r="E121" s="115"/>
      <c r="F121" s="115"/>
      <c r="G121" s="115"/>
      <c r="H121" s="115"/>
      <c r="I121" s="115"/>
      <c r="J121" s="100"/>
      <c r="K121" s="100"/>
      <c r="L121" s="100"/>
      <c r="M121" s="100"/>
      <c r="N121" s="100"/>
      <c r="O121" s="100"/>
    </row>
    <row r="122" spans="1:15" ht="42" customHeight="1" x14ac:dyDescent="0.25">
      <c r="A122" s="116" t="s">
        <v>606</v>
      </c>
      <c r="B122" s="100" t="s">
        <v>557</v>
      </c>
      <c r="C122" s="115" t="s">
        <v>640</v>
      </c>
      <c r="D122" s="115"/>
      <c r="E122" s="115"/>
      <c r="F122" s="115"/>
      <c r="G122" s="115"/>
      <c r="H122" s="115"/>
      <c r="I122" s="115"/>
      <c r="J122" s="100"/>
      <c r="K122" s="100"/>
      <c r="L122" s="100"/>
      <c r="M122" s="100"/>
      <c r="N122" s="100"/>
      <c r="O122" s="100"/>
    </row>
    <row r="123" spans="1:15" ht="24" customHeight="1" x14ac:dyDescent="0.25">
      <c r="A123" s="1285" t="s">
        <v>607</v>
      </c>
      <c r="B123" s="1286" t="s">
        <v>638</v>
      </c>
      <c r="C123" s="115" t="s">
        <v>2</v>
      </c>
      <c r="D123" s="115"/>
      <c r="E123" s="115"/>
      <c r="F123" s="115"/>
      <c r="G123" s="115"/>
      <c r="H123" s="115"/>
      <c r="I123" s="115"/>
      <c r="J123" s="100"/>
      <c r="K123" s="100"/>
      <c r="L123" s="100"/>
      <c r="M123" s="100"/>
      <c r="N123" s="100"/>
      <c r="O123" s="100"/>
    </row>
    <row r="124" spans="1:15" ht="28.5" customHeight="1" x14ac:dyDescent="0.25">
      <c r="A124" s="1285"/>
      <c r="B124" s="1286"/>
      <c r="C124" s="115" t="s">
        <v>530</v>
      </c>
      <c r="D124" s="115"/>
      <c r="E124" s="115"/>
      <c r="F124" s="115"/>
      <c r="G124" s="115"/>
      <c r="H124" s="115"/>
      <c r="I124" s="115"/>
      <c r="J124" s="100"/>
      <c r="K124" s="100"/>
      <c r="L124" s="100"/>
      <c r="M124" s="100"/>
      <c r="N124" s="100"/>
      <c r="O124" s="100"/>
    </row>
    <row r="125" spans="1:15" ht="26.25" customHeight="1" x14ac:dyDescent="0.25">
      <c r="A125" s="1285"/>
      <c r="B125" s="1286"/>
      <c r="C125" s="115" t="s">
        <v>531</v>
      </c>
      <c r="D125" s="115"/>
      <c r="E125" s="115"/>
      <c r="F125" s="115"/>
      <c r="G125" s="115"/>
      <c r="H125" s="115"/>
      <c r="I125" s="115"/>
      <c r="J125" s="100"/>
      <c r="K125" s="100"/>
      <c r="L125" s="100"/>
      <c r="M125" s="100"/>
      <c r="N125" s="100"/>
      <c r="O125" s="100"/>
    </row>
    <row r="126" spans="1:15" ht="28.5" customHeight="1" x14ac:dyDescent="0.25">
      <c r="A126" s="1285"/>
      <c r="B126" s="1286"/>
      <c r="C126" s="115" t="s">
        <v>641</v>
      </c>
      <c r="D126" s="115"/>
      <c r="E126" s="115"/>
      <c r="F126" s="115"/>
      <c r="G126" s="115"/>
      <c r="H126" s="115"/>
      <c r="I126" s="115"/>
      <c r="J126" s="100"/>
      <c r="K126" s="100"/>
      <c r="L126" s="100"/>
      <c r="M126" s="100"/>
      <c r="N126" s="100"/>
      <c r="O126" s="100"/>
    </row>
    <row r="127" spans="1:15" ht="15.75" x14ac:dyDescent="0.25">
      <c r="A127" s="1285" t="s">
        <v>608</v>
      </c>
      <c r="B127" s="1286" t="s">
        <v>549</v>
      </c>
      <c r="C127" s="115" t="s">
        <v>2</v>
      </c>
      <c r="D127" s="115"/>
      <c r="E127" s="115"/>
      <c r="F127" s="115"/>
      <c r="G127" s="115"/>
      <c r="H127" s="115"/>
      <c r="I127" s="115"/>
      <c r="J127" s="100"/>
      <c r="K127" s="100"/>
      <c r="L127" s="100"/>
      <c r="M127" s="100"/>
      <c r="N127" s="100"/>
      <c r="O127" s="100"/>
    </row>
    <row r="128" spans="1:15" ht="15.75" x14ac:dyDescent="0.25">
      <c r="A128" s="1285"/>
      <c r="B128" s="1286"/>
      <c r="C128" s="115" t="s">
        <v>530</v>
      </c>
      <c r="D128" s="115"/>
      <c r="E128" s="115"/>
      <c r="F128" s="115"/>
      <c r="G128" s="115"/>
      <c r="H128" s="115"/>
      <c r="I128" s="115"/>
      <c r="J128" s="100"/>
      <c r="K128" s="100"/>
      <c r="L128" s="100"/>
      <c r="M128" s="100"/>
      <c r="N128" s="100"/>
      <c r="O128" s="100"/>
    </row>
    <row r="129" spans="1:15" ht="15.75" x14ac:dyDescent="0.25">
      <c r="A129" s="1285"/>
      <c r="B129" s="1286"/>
      <c r="C129" s="115" t="s">
        <v>531</v>
      </c>
      <c r="D129" s="115"/>
      <c r="E129" s="115"/>
      <c r="F129" s="115"/>
      <c r="G129" s="115"/>
      <c r="H129" s="115"/>
      <c r="I129" s="115"/>
      <c r="J129" s="100"/>
      <c r="K129" s="100"/>
      <c r="L129" s="100"/>
      <c r="M129" s="100"/>
      <c r="N129" s="100"/>
      <c r="O129" s="100"/>
    </row>
    <row r="130" spans="1:15" ht="18.75" x14ac:dyDescent="0.25">
      <c r="A130" s="1285"/>
      <c r="B130" s="1286"/>
      <c r="C130" s="115" t="s">
        <v>641</v>
      </c>
      <c r="D130" s="115"/>
      <c r="E130" s="115"/>
      <c r="F130" s="115"/>
      <c r="G130" s="115"/>
      <c r="H130" s="115"/>
      <c r="I130" s="115"/>
      <c r="J130" s="100"/>
      <c r="K130" s="100"/>
      <c r="L130" s="100"/>
      <c r="M130" s="100"/>
      <c r="N130" s="100"/>
      <c r="O130" s="100"/>
    </row>
    <row r="131" spans="1:15" ht="15.75" x14ac:dyDescent="0.25">
      <c r="A131" s="1285" t="s">
        <v>609</v>
      </c>
      <c r="B131" s="1286" t="s">
        <v>550</v>
      </c>
      <c r="C131" s="115" t="s">
        <v>2</v>
      </c>
      <c r="D131" s="115"/>
      <c r="E131" s="115"/>
      <c r="F131" s="115"/>
      <c r="G131" s="115"/>
      <c r="H131" s="115"/>
      <c r="I131" s="115"/>
      <c r="J131" s="100"/>
      <c r="K131" s="100"/>
      <c r="L131" s="100"/>
      <c r="M131" s="100"/>
      <c r="N131" s="100"/>
      <c r="O131" s="100"/>
    </row>
    <row r="132" spans="1:15" ht="15.75" x14ac:dyDescent="0.25">
      <c r="A132" s="1285"/>
      <c r="B132" s="1286"/>
      <c r="C132" s="115" t="s">
        <v>530</v>
      </c>
      <c r="D132" s="115"/>
      <c r="E132" s="115"/>
      <c r="F132" s="115"/>
      <c r="G132" s="115"/>
      <c r="H132" s="115"/>
      <c r="I132" s="115"/>
      <c r="J132" s="100"/>
      <c r="K132" s="100"/>
      <c r="L132" s="100"/>
      <c r="M132" s="100"/>
      <c r="N132" s="100"/>
      <c r="O132" s="100"/>
    </row>
    <row r="133" spans="1:15" ht="15.75" customHeight="1" x14ac:dyDescent="0.25">
      <c r="A133" s="1285"/>
      <c r="B133" s="1286"/>
      <c r="C133" s="115" t="s">
        <v>531</v>
      </c>
      <c r="D133" s="115"/>
      <c r="E133" s="115"/>
      <c r="F133" s="115"/>
      <c r="G133" s="115"/>
      <c r="H133" s="115"/>
      <c r="I133" s="115"/>
      <c r="J133" s="100"/>
      <c r="K133" s="100"/>
      <c r="L133" s="100"/>
      <c r="M133" s="100"/>
      <c r="N133" s="100"/>
      <c r="O133" s="100"/>
    </row>
    <row r="134" spans="1:15" ht="18.75" x14ac:dyDescent="0.25">
      <c r="A134" s="1285"/>
      <c r="B134" s="1286"/>
      <c r="C134" s="115" t="s">
        <v>641</v>
      </c>
      <c r="D134" s="115"/>
      <c r="E134" s="115"/>
      <c r="F134" s="115"/>
      <c r="G134" s="115"/>
      <c r="H134" s="115"/>
      <c r="I134" s="115"/>
      <c r="J134" s="100"/>
      <c r="K134" s="100"/>
      <c r="L134" s="100"/>
      <c r="M134" s="100"/>
      <c r="N134" s="100"/>
      <c r="O134" s="100"/>
    </row>
    <row r="135" spans="1:15" ht="15.75" x14ac:dyDescent="0.25">
      <c r="A135" s="1285" t="s">
        <v>610</v>
      </c>
      <c r="B135" s="1286" t="s">
        <v>551</v>
      </c>
      <c r="C135" s="115" t="s">
        <v>2</v>
      </c>
      <c r="D135" s="100"/>
      <c r="E135" s="100"/>
      <c r="F135" s="100"/>
      <c r="G135" s="100"/>
      <c r="H135" s="100"/>
      <c r="I135" s="100"/>
      <c r="J135" s="100"/>
      <c r="K135" s="100"/>
      <c r="L135" s="100"/>
      <c r="M135" s="100"/>
      <c r="N135" s="100"/>
      <c r="O135" s="100"/>
    </row>
    <row r="136" spans="1:15" ht="15.75" x14ac:dyDescent="0.25">
      <c r="A136" s="1285"/>
      <c r="B136" s="1286"/>
      <c r="C136" s="115" t="s">
        <v>530</v>
      </c>
      <c r="D136" s="100"/>
      <c r="E136" s="100"/>
      <c r="F136" s="100"/>
      <c r="G136" s="100"/>
      <c r="H136" s="100"/>
      <c r="I136" s="100"/>
      <c r="J136" s="100"/>
      <c r="K136" s="100"/>
      <c r="L136" s="100"/>
      <c r="M136" s="100"/>
      <c r="N136" s="100"/>
      <c r="O136" s="100"/>
    </row>
    <row r="137" spans="1:15" ht="28.5" customHeight="1" x14ac:dyDescent="0.25">
      <c r="A137" s="1285"/>
      <c r="B137" s="1286"/>
      <c r="C137" s="115" t="s">
        <v>531</v>
      </c>
      <c r="D137" s="100"/>
      <c r="E137" s="100"/>
      <c r="F137" s="100"/>
      <c r="G137" s="100"/>
      <c r="H137" s="100"/>
      <c r="I137" s="100"/>
      <c r="J137" s="100"/>
      <c r="K137" s="100"/>
      <c r="L137" s="100"/>
      <c r="M137" s="100"/>
      <c r="N137" s="100"/>
      <c r="O137" s="100"/>
    </row>
    <row r="138" spans="1:15" ht="25.5" customHeight="1" x14ac:dyDescent="0.25">
      <c r="A138" s="1285"/>
      <c r="B138" s="1286"/>
      <c r="C138" s="115" t="s">
        <v>641</v>
      </c>
      <c r="D138" s="100"/>
      <c r="E138" s="100"/>
      <c r="F138" s="100"/>
      <c r="G138" s="100"/>
      <c r="H138" s="100"/>
      <c r="I138" s="100"/>
      <c r="J138" s="100"/>
      <c r="K138" s="100"/>
      <c r="L138" s="100"/>
      <c r="M138" s="100"/>
      <c r="N138" s="100"/>
      <c r="O138" s="100"/>
    </row>
    <row r="139" spans="1:15" ht="29.25" customHeight="1" x14ac:dyDescent="0.25">
      <c r="A139" s="1285" t="s">
        <v>611</v>
      </c>
      <c r="B139" s="1286" t="s">
        <v>637</v>
      </c>
      <c r="C139" s="115" t="s">
        <v>2</v>
      </c>
      <c r="D139" s="115"/>
      <c r="E139" s="115"/>
      <c r="F139" s="115"/>
      <c r="G139" s="115"/>
      <c r="H139" s="115"/>
      <c r="I139" s="115"/>
      <c r="J139" s="100"/>
      <c r="K139" s="100"/>
      <c r="L139" s="100"/>
      <c r="M139" s="100"/>
      <c r="N139" s="100"/>
      <c r="O139" s="100"/>
    </row>
    <row r="140" spans="1:15" ht="28.5" customHeight="1" x14ac:dyDescent="0.25">
      <c r="A140" s="1285"/>
      <c r="B140" s="1286"/>
      <c r="C140" s="115" t="s">
        <v>530</v>
      </c>
      <c r="D140" s="115"/>
      <c r="E140" s="115"/>
      <c r="F140" s="115"/>
      <c r="G140" s="115"/>
      <c r="H140" s="115"/>
      <c r="I140" s="115"/>
      <c r="J140" s="100"/>
      <c r="K140" s="100"/>
      <c r="L140" s="100"/>
      <c r="M140" s="100"/>
      <c r="N140" s="100"/>
      <c r="O140" s="100"/>
    </row>
    <row r="141" spans="1:15" ht="24" customHeight="1" x14ac:dyDescent="0.25">
      <c r="A141" s="1285"/>
      <c r="B141" s="1286"/>
      <c r="C141" s="115" t="s">
        <v>531</v>
      </c>
      <c r="D141" s="115"/>
      <c r="E141" s="115"/>
      <c r="F141" s="115"/>
      <c r="G141" s="115"/>
      <c r="H141" s="115"/>
      <c r="I141" s="115"/>
      <c r="J141" s="100"/>
      <c r="K141" s="100"/>
      <c r="L141" s="100"/>
      <c r="M141" s="100"/>
      <c r="N141" s="100"/>
      <c r="O141" s="100"/>
    </row>
    <row r="142" spans="1:15" ht="24" customHeight="1" x14ac:dyDescent="0.25">
      <c r="A142" s="1285"/>
      <c r="B142" s="1286"/>
      <c r="C142" s="115" t="s">
        <v>641</v>
      </c>
      <c r="D142" s="115"/>
      <c r="E142" s="115"/>
      <c r="F142" s="115"/>
      <c r="G142" s="115"/>
      <c r="H142" s="115"/>
      <c r="I142" s="115"/>
      <c r="J142" s="100"/>
      <c r="K142" s="100"/>
      <c r="L142" s="100"/>
      <c r="M142" s="100"/>
      <c r="N142" s="100"/>
      <c r="O142" s="100"/>
    </row>
    <row r="143" spans="1:15" ht="15.75" x14ac:dyDescent="0.25">
      <c r="A143" s="1285" t="s">
        <v>612</v>
      </c>
      <c r="B143" s="1286" t="s">
        <v>549</v>
      </c>
      <c r="C143" s="115" t="s">
        <v>2</v>
      </c>
      <c r="D143" s="115"/>
      <c r="E143" s="115"/>
      <c r="F143" s="115"/>
      <c r="G143" s="115"/>
      <c r="H143" s="115"/>
      <c r="I143" s="115"/>
      <c r="J143" s="100"/>
      <c r="K143" s="100"/>
      <c r="L143" s="100"/>
      <c r="M143" s="100"/>
      <c r="N143" s="100"/>
      <c r="O143" s="100"/>
    </row>
    <row r="144" spans="1:15" ht="15.75" x14ac:dyDescent="0.25">
      <c r="A144" s="1285"/>
      <c r="B144" s="1286"/>
      <c r="C144" s="115" t="s">
        <v>530</v>
      </c>
      <c r="D144" s="115"/>
      <c r="E144" s="115"/>
      <c r="F144" s="115"/>
      <c r="G144" s="115"/>
      <c r="H144" s="115"/>
      <c r="I144" s="115"/>
      <c r="J144" s="100"/>
      <c r="K144" s="100"/>
      <c r="L144" s="100"/>
      <c r="M144" s="100"/>
      <c r="N144" s="100"/>
      <c r="O144" s="100"/>
    </row>
    <row r="145" spans="1:15" ht="15.75" x14ac:dyDescent="0.25">
      <c r="A145" s="1285"/>
      <c r="B145" s="1286"/>
      <c r="C145" s="115" t="s">
        <v>531</v>
      </c>
      <c r="D145" s="115"/>
      <c r="E145" s="115"/>
      <c r="F145" s="115"/>
      <c r="G145" s="115"/>
      <c r="H145" s="115"/>
      <c r="I145" s="115"/>
      <c r="J145" s="100"/>
      <c r="K145" s="100"/>
      <c r="L145" s="100"/>
      <c r="M145" s="100"/>
      <c r="N145" s="100"/>
      <c r="O145" s="100"/>
    </row>
    <row r="146" spans="1:15" ht="18.75" x14ac:dyDescent="0.25">
      <c r="A146" s="1285"/>
      <c r="B146" s="1286"/>
      <c r="C146" s="115" t="s">
        <v>641</v>
      </c>
      <c r="D146" s="115"/>
      <c r="E146" s="115"/>
      <c r="F146" s="115"/>
      <c r="G146" s="115"/>
      <c r="H146" s="115"/>
      <c r="I146" s="115"/>
      <c r="J146" s="100"/>
      <c r="K146" s="100"/>
      <c r="L146" s="100"/>
      <c r="M146" s="100"/>
      <c r="N146" s="100"/>
      <c r="O146" s="100"/>
    </row>
    <row r="147" spans="1:15" ht="15.75" x14ac:dyDescent="0.25">
      <c r="A147" s="1285" t="s">
        <v>613</v>
      </c>
      <c r="B147" s="1286" t="s">
        <v>550</v>
      </c>
      <c r="C147" s="115" t="s">
        <v>2</v>
      </c>
      <c r="D147" s="115"/>
      <c r="E147" s="115"/>
      <c r="F147" s="115"/>
      <c r="G147" s="115"/>
      <c r="H147" s="115"/>
      <c r="I147" s="115"/>
      <c r="J147" s="100"/>
      <c r="K147" s="100"/>
      <c r="L147" s="100"/>
      <c r="M147" s="100"/>
      <c r="N147" s="100"/>
      <c r="O147" s="100"/>
    </row>
    <row r="148" spans="1:15" ht="15.75" x14ac:dyDescent="0.25">
      <c r="A148" s="1285"/>
      <c r="B148" s="1286"/>
      <c r="C148" s="115" t="s">
        <v>530</v>
      </c>
      <c r="D148" s="115"/>
      <c r="E148" s="115"/>
      <c r="F148" s="115"/>
      <c r="G148" s="115"/>
      <c r="H148" s="115"/>
      <c r="I148" s="115"/>
      <c r="J148" s="100"/>
      <c r="K148" s="100"/>
      <c r="L148" s="100"/>
      <c r="M148" s="100"/>
      <c r="N148" s="100"/>
      <c r="O148" s="100"/>
    </row>
    <row r="149" spans="1:15" ht="15.75" x14ac:dyDescent="0.25">
      <c r="A149" s="1285"/>
      <c r="B149" s="1286"/>
      <c r="C149" s="115" t="s">
        <v>531</v>
      </c>
      <c r="D149" s="115"/>
      <c r="E149" s="115"/>
      <c r="F149" s="115"/>
      <c r="G149" s="115"/>
      <c r="H149" s="115"/>
      <c r="I149" s="115"/>
      <c r="J149" s="100"/>
      <c r="K149" s="100"/>
      <c r="L149" s="100"/>
      <c r="M149" s="100"/>
      <c r="N149" s="100"/>
      <c r="O149" s="100"/>
    </row>
    <row r="150" spans="1:15" ht="18.75" x14ac:dyDescent="0.25">
      <c r="A150" s="1285"/>
      <c r="B150" s="1286"/>
      <c r="C150" s="115" t="s">
        <v>641</v>
      </c>
      <c r="D150" s="115"/>
      <c r="E150" s="115"/>
      <c r="F150" s="115"/>
      <c r="G150" s="115"/>
      <c r="H150" s="115"/>
      <c r="I150" s="115"/>
      <c r="J150" s="100"/>
      <c r="K150" s="100"/>
      <c r="L150" s="100"/>
      <c r="M150" s="100"/>
      <c r="N150" s="100"/>
      <c r="O150" s="100"/>
    </row>
    <row r="151" spans="1:15" ht="15.75" x14ac:dyDescent="0.25">
      <c r="A151" s="1285" t="s">
        <v>634</v>
      </c>
      <c r="B151" s="1286" t="s">
        <v>551</v>
      </c>
      <c r="C151" s="115" t="s">
        <v>2</v>
      </c>
      <c r="D151" s="115"/>
      <c r="E151" s="115"/>
      <c r="F151" s="115"/>
      <c r="G151" s="115"/>
      <c r="H151" s="115"/>
      <c r="I151" s="115"/>
      <c r="J151" s="100"/>
      <c r="K151" s="100"/>
      <c r="L151" s="100"/>
      <c r="M151" s="100"/>
      <c r="N151" s="100"/>
      <c r="O151" s="100"/>
    </row>
    <row r="152" spans="1:15" ht="16.5" customHeight="1" x14ac:dyDescent="0.25">
      <c r="A152" s="1285"/>
      <c r="B152" s="1286"/>
      <c r="C152" s="115" t="s">
        <v>530</v>
      </c>
      <c r="D152" s="115"/>
      <c r="E152" s="115"/>
      <c r="F152" s="115"/>
      <c r="G152" s="115"/>
      <c r="H152" s="115"/>
      <c r="I152" s="115"/>
      <c r="J152" s="100"/>
      <c r="K152" s="100"/>
      <c r="L152" s="100"/>
      <c r="M152" s="100"/>
      <c r="N152" s="100"/>
      <c r="O152" s="100"/>
    </row>
    <row r="153" spans="1:15" ht="16.5" customHeight="1" x14ac:dyDescent="0.25">
      <c r="A153" s="1285"/>
      <c r="B153" s="1286"/>
      <c r="C153" s="115" t="s">
        <v>531</v>
      </c>
      <c r="D153" s="115"/>
      <c r="E153" s="115"/>
      <c r="F153" s="115"/>
      <c r="G153" s="115"/>
      <c r="H153" s="115"/>
      <c r="I153" s="115"/>
      <c r="J153" s="100"/>
      <c r="K153" s="100"/>
      <c r="L153" s="100"/>
      <c r="M153" s="100"/>
      <c r="N153" s="100"/>
      <c r="O153" s="100"/>
    </row>
    <row r="154" spans="1:15" ht="21.75" customHeight="1" x14ac:dyDescent="0.25">
      <c r="A154" s="1285"/>
      <c r="B154" s="1286"/>
      <c r="C154" s="115" t="s">
        <v>641</v>
      </c>
      <c r="D154" s="115"/>
      <c r="E154" s="115"/>
      <c r="F154" s="115"/>
      <c r="G154" s="115"/>
      <c r="H154" s="115"/>
      <c r="I154" s="115"/>
      <c r="J154" s="100"/>
      <c r="K154" s="100"/>
      <c r="L154" s="100"/>
      <c r="M154" s="100"/>
      <c r="N154" s="100"/>
      <c r="O154" s="100"/>
    </row>
    <row r="155" spans="1:15" ht="34.5" customHeight="1" x14ac:dyDescent="0.25">
      <c r="A155" s="116" t="s">
        <v>548</v>
      </c>
      <c r="B155" s="115" t="s">
        <v>567</v>
      </c>
      <c r="C155" s="115" t="s">
        <v>621</v>
      </c>
      <c r="D155" s="115" t="s">
        <v>621</v>
      </c>
      <c r="E155" s="115" t="s">
        <v>621</v>
      </c>
      <c r="F155" s="115" t="s">
        <v>621</v>
      </c>
      <c r="G155" s="115" t="s">
        <v>621</v>
      </c>
      <c r="H155" s="115" t="s">
        <v>621</v>
      </c>
      <c r="I155" s="115" t="s">
        <v>621</v>
      </c>
      <c r="J155" s="115" t="s">
        <v>621</v>
      </c>
      <c r="K155" s="115" t="s">
        <v>621</v>
      </c>
      <c r="L155" s="115" t="s">
        <v>621</v>
      </c>
      <c r="M155" s="115" t="s">
        <v>621</v>
      </c>
      <c r="N155" s="115" t="s">
        <v>621</v>
      </c>
      <c r="O155" s="115" t="s">
        <v>621</v>
      </c>
    </row>
    <row r="156" spans="1:15" ht="18.75" x14ac:dyDescent="0.25">
      <c r="A156" s="116" t="s">
        <v>630</v>
      </c>
      <c r="B156" s="115" t="s">
        <v>630</v>
      </c>
      <c r="C156" s="115"/>
      <c r="D156" s="115"/>
      <c r="E156" s="115"/>
      <c r="F156" s="115"/>
      <c r="G156" s="115"/>
      <c r="H156" s="115"/>
      <c r="I156" s="115"/>
      <c r="J156" s="100"/>
      <c r="K156" s="100"/>
      <c r="L156" s="100"/>
      <c r="M156" s="100"/>
      <c r="N156" s="100"/>
      <c r="O156" s="100"/>
    </row>
    <row r="158" spans="1:15" ht="18" x14ac:dyDescent="0.25">
      <c r="B158" s="9" t="s">
        <v>659</v>
      </c>
    </row>
    <row r="159" spans="1:15" ht="18" x14ac:dyDescent="0.25">
      <c r="B159" s="9" t="s">
        <v>558</v>
      </c>
    </row>
    <row r="160" spans="1:15" ht="18" x14ac:dyDescent="0.25">
      <c r="B160" s="9" t="s">
        <v>660</v>
      </c>
    </row>
    <row r="161" spans="2:2" ht="18" x14ac:dyDescent="0.25">
      <c r="B161" s="9" t="s">
        <v>643</v>
      </c>
    </row>
    <row r="162" spans="2:2" ht="18" x14ac:dyDescent="0.25">
      <c r="B162" s="9" t="s">
        <v>642</v>
      </c>
    </row>
  </sheetData>
  <mergeCells count="110">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59:A62"/>
    <mergeCell ref="B59:B62"/>
    <mergeCell ref="A63:A66"/>
    <mergeCell ref="B63:B66"/>
    <mergeCell ref="A44:A45"/>
    <mergeCell ref="B44:B45"/>
    <mergeCell ref="A46:A47"/>
    <mergeCell ref="B46:B47"/>
    <mergeCell ref="A48:A49"/>
    <mergeCell ref="B48:B49"/>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view="pageBreakPreview" topLeftCell="A22" zoomScale="70" zoomScaleNormal="50" zoomScaleSheetLayoutView="70" workbookViewId="0">
      <selection activeCell="B29" sqref="B29"/>
    </sheetView>
  </sheetViews>
  <sheetFormatPr defaultRowHeight="15" x14ac:dyDescent="0.25"/>
  <cols>
    <col min="1" max="1" width="12.5" style="106" customWidth="1"/>
    <col min="2" max="2" width="25.5" style="6" customWidth="1"/>
    <col min="3" max="3" width="20.625" style="6" customWidth="1"/>
    <col min="4" max="4" width="20.375" style="6" customWidth="1"/>
    <col min="5" max="5" width="19.75" style="6" customWidth="1"/>
    <col min="6" max="6" width="22.875" style="6" customWidth="1"/>
    <col min="7" max="7" width="19.625" style="6" customWidth="1"/>
    <col min="8" max="8" width="17.375" style="6" customWidth="1"/>
    <col min="9" max="9" width="23.375" style="6" customWidth="1"/>
    <col min="10" max="10" width="12.75" style="6" customWidth="1"/>
    <col min="11" max="12" width="17.375" style="6" customWidth="1"/>
    <col min="13" max="13" width="18.5" style="6" customWidth="1"/>
    <col min="14" max="14" width="21.5" style="6" customWidth="1"/>
    <col min="15" max="15" width="7.75" style="6" customWidth="1"/>
    <col min="16" max="16" width="9" style="6" customWidth="1"/>
    <col min="17" max="17" width="17.75" style="6" customWidth="1"/>
    <col min="18" max="18" width="18.375" style="6" customWidth="1"/>
    <col min="19" max="19" width="9.125" style="6" customWidth="1"/>
    <col min="20" max="20" width="9" style="6" customWidth="1"/>
    <col min="21" max="21" width="22" style="6" customWidth="1"/>
    <col min="22" max="22" width="22.625" style="6" customWidth="1"/>
    <col min="23" max="23" width="14.875" style="6" customWidth="1"/>
    <col min="24" max="24" width="10.625" style="73" customWidth="1"/>
    <col min="25" max="25" width="9.25" style="73" customWidth="1"/>
    <col min="26" max="26" width="11.125" style="73" customWidth="1"/>
    <col min="27" max="27" width="11.875" style="73" customWidth="1"/>
    <col min="28" max="28" width="15.625" style="73" customWidth="1"/>
    <col min="29" max="30" width="15.875" style="73" customWidth="1"/>
    <col min="31" max="31" width="20.75" style="73" customWidth="1"/>
    <col min="32" max="32" width="18.375" style="73" customWidth="1"/>
    <col min="33" max="33" width="29" style="73" customWidth="1"/>
    <col min="34" max="253" width="9" style="73"/>
    <col min="254" max="254" width="3.875" style="73" bestFit="1" customWidth="1"/>
    <col min="255" max="255" width="16" style="73" bestFit="1" customWidth="1"/>
    <col min="256" max="256" width="16.625" style="73" bestFit="1" customWidth="1"/>
    <col min="257" max="257" width="13.5" style="73" bestFit="1" customWidth="1"/>
    <col min="258" max="259" width="10.875" style="73" bestFit="1" customWidth="1"/>
    <col min="260" max="260" width="6.25" style="73" bestFit="1" customWidth="1"/>
    <col min="261" max="261" width="8.875" style="73" bestFit="1" customWidth="1"/>
    <col min="262" max="262" width="13.875" style="73" bestFit="1" customWidth="1"/>
    <col min="263" max="263" width="13.25" style="73" bestFit="1" customWidth="1"/>
    <col min="264" max="264" width="16" style="73" bestFit="1" customWidth="1"/>
    <col min="265" max="265" width="11.625" style="73" bestFit="1" customWidth="1"/>
    <col min="266" max="266" width="16.875" style="73" customWidth="1"/>
    <col min="267" max="267" width="13.25" style="73" customWidth="1"/>
    <col min="268" max="268" width="18.375" style="73" bestFit="1" customWidth="1"/>
    <col min="269" max="269" width="15" style="73" bestFit="1" customWidth="1"/>
    <col min="270" max="270" width="14.75" style="73" bestFit="1" customWidth="1"/>
    <col min="271" max="271" width="14.625" style="73" bestFit="1" customWidth="1"/>
    <col min="272" max="272" width="13.75" style="73" bestFit="1" customWidth="1"/>
    <col min="273" max="273" width="14.25" style="73" bestFit="1" customWidth="1"/>
    <col min="274" max="274" width="15.125" style="73" customWidth="1"/>
    <col min="275" max="275" width="20.5" style="73" bestFit="1" customWidth="1"/>
    <col min="276" max="276" width="27.875" style="73" bestFit="1" customWidth="1"/>
    <col min="277" max="277" width="6.875" style="73" bestFit="1" customWidth="1"/>
    <col min="278" max="278" width="5" style="73" bestFit="1" customWidth="1"/>
    <col min="279" max="279" width="8" style="73" bestFit="1" customWidth="1"/>
    <col min="280" max="280" width="11.875" style="73" bestFit="1" customWidth="1"/>
    <col min="281" max="509" width="9" style="73"/>
    <col min="510" max="510" width="3.875" style="73" bestFit="1" customWidth="1"/>
    <col min="511" max="511" width="16" style="73" bestFit="1" customWidth="1"/>
    <col min="512" max="512" width="16.625" style="73" bestFit="1" customWidth="1"/>
    <col min="513" max="513" width="13.5" style="73" bestFit="1" customWidth="1"/>
    <col min="514" max="515" width="10.875" style="73" bestFit="1" customWidth="1"/>
    <col min="516" max="516" width="6.25" style="73" bestFit="1" customWidth="1"/>
    <col min="517" max="517" width="8.875" style="73" bestFit="1" customWidth="1"/>
    <col min="518" max="518" width="13.875" style="73" bestFit="1" customWidth="1"/>
    <col min="519" max="519" width="13.25" style="73" bestFit="1" customWidth="1"/>
    <col min="520" max="520" width="16" style="73" bestFit="1" customWidth="1"/>
    <col min="521" max="521" width="11.625" style="73" bestFit="1" customWidth="1"/>
    <col min="522" max="522" width="16.875" style="73" customWidth="1"/>
    <col min="523" max="523" width="13.25" style="73" customWidth="1"/>
    <col min="524" max="524" width="18.375" style="73" bestFit="1" customWidth="1"/>
    <col min="525" max="525" width="15" style="73" bestFit="1" customWidth="1"/>
    <col min="526" max="526" width="14.75" style="73" bestFit="1" customWidth="1"/>
    <col min="527" max="527" width="14.625" style="73" bestFit="1" customWidth="1"/>
    <col min="528" max="528" width="13.75" style="73" bestFit="1" customWidth="1"/>
    <col min="529" max="529" width="14.25" style="73" bestFit="1" customWidth="1"/>
    <col min="530" max="530" width="15.125" style="73" customWidth="1"/>
    <col min="531" max="531" width="20.5" style="73" bestFit="1" customWidth="1"/>
    <col min="532" max="532" width="27.875" style="73" bestFit="1" customWidth="1"/>
    <col min="533" max="533" width="6.875" style="73" bestFit="1" customWidth="1"/>
    <col min="534" max="534" width="5" style="73" bestFit="1" customWidth="1"/>
    <col min="535" max="535" width="8" style="73" bestFit="1" customWidth="1"/>
    <col min="536" max="536" width="11.875" style="73" bestFit="1" customWidth="1"/>
    <col min="537" max="765" width="9" style="73"/>
    <col min="766" max="766" width="3.875" style="73" bestFit="1" customWidth="1"/>
    <col min="767" max="767" width="16" style="73" bestFit="1" customWidth="1"/>
    <col min="768" max="768" width="16.625" style="73" bestFit="1" customWidth="1"/>
    <col min="769" max="769" width="13.5" style="73" bestFit="1" customWidth="1"/>
    <col min="770" max="771" width="10.875" style="73" bestFit="1" customWidth="1"/>
    <col min="772" max="772" width="6.25" style="73" bestFit="1" customWidth="1"/>
    <col min="773" max="773" width="8.875" style="73" bestFit="1" customWidth="1"/>
    <col min="774" max="774" width="13.875" style="73" bestFit="1" customWidth="1"/>
    <col min="775" max="775" width="13.25" style="73" bestFit="1" customWidth="1"/>
    <col min="776" max="776" width="16" style="73" bestFit="1" customWidth="1"/>
    <col min="777" max="777" width="11.625" style="73" bestFit="1" customWidth="1"/>
    <col min="778" max="778" width="16.875" style="73" customWidth="1"/>
    <col min="779" max="779" width="13.25" style="73" customWidth="1"/>
    <col min="780" max="780" width="18.375" style="73" bestFit="1" customWidth="1"/>
    <col min="781" max="781" width="15" style="73" bestFit="1" customWidth="1"/>
    <col min="782" max="782" width="14.75" style="73" bestFit="1" customWidth="1"/>
    <col min="783" max="783" width="14.625" style="73" bestFit="1" customWidth="1"/>
    <col min="784" max="784" width="13.75" style="73" bestFit="1" customWidth="1"/>
    <col min="785" max="785" width="14.25" style="73" bestFit="1" customWidth="1"/>
    <col min="786" max="786" width="15.125" style="73" customWidth="1"/>
    <col min="787" max="787" width="20.5" style="73" bestFit="1" customWidth="1"/>
    <col min="788" max="788" width="27.875" style="73" bestFit="1" customWidth="1"/>
    <col min="789" max="789" width="6.875" style="73" bestFit="1" customWidth="1"/>
    <col min="790" max="790" width="5" style="73" bestFit="1" customWidth="1"/>
    <col min="791" max="791" width="8" style="73" bestFit="1" customWidth="1"/>
    <col min="792" max="792" width="11.875" style="73" bestFit="1" customWidth="1"/>
    <col min="793" max="1021" width="9" style="73"/>
    <col min="1022" max="1022" width="3.875" style="73" bestFit="1" customWidth="1"/>
    <col min="1023" max="1023" width="16" style="73" bestFit="1" customWidth="1"/>
    <col min="1024" max="1024" width="16.625" style="73" bestFit="1" customWidth="1"/>
    <col min="1025" max="1025" width="13.5" style="73" bestFit="1" customWidth="1"/>
    <col min="1026" max="1027" width="10.875" style="73" bestFit="1" customWidth="1"/>
    <col min="1028" max="1028" width="6.25" style="73" bestFit="1" customWidth="1"/>
    <col min="1029" max="1029" width="8.875" style="73" bestFit="1" customWidth="1"/>
    <col min="1030" max="1030" width="13.875" style="73" bestFit="1" customWidth="1"/>
    <col min="1031" max="1031" width="13.25" style="73" bestFit="1" customWidth="1"/>
    <col min="1032" max="1032" width="16" style="73" bestFit="1" customWidth="1"/>
    <col min="1033" max="1033" width="11.625" style="73" bestFit="1" customWidth="1"/>
    <col min="1034" max="1034" width="16.875" style="73" customWidth="1"/>
    <col min="1035" max="1035" width="13.25" style="73" customWidth="1"/>
    <col min="1036" max="1036" width="18.375" style="73" bestFit="1" customWidth="1"/>
    <col min="1037" max="1037" width="15" style="73" bestFit="1" customWidth="1"/>
    <col min="1038" max="1038" width="14.75" style="73" bestFit="1" customWidth="1"/>
    <col min="1039" max="1039" width="14.625" style="73" bestFit="1" customWidth="1"/>
    <col min="1040" max="1040" width="13.75" style="73" bestFit="1" customWidth="1"/>
    <col min="1041" max="1041" width="14.25" style="73" bestFit="1" customWidth="1"/>
    <col min="1042" max="1042" width="15.125" style="73" customWidth="1"/>
    <col min="1043" max="1043" width="20.5" style="73" bestFit="1" customWidth="1"/>
    <col min="1044" max="1044" width="27.875" style="73" bestFit="1" customWidth="1"/>
    <col min="1045" max="1045" width="6.875" style="73" bestFit="1" customWidth="1"/>
    <col min="1046" max="1046" width="5" style="73" bestFit="1" customWidth="1"/>
    <col min="1047" max="1047" width="8" style="73" bestFit="1" customWidth="1"/>
    <col min="1048" max="1048" width="11.875" style="73" bestFit="1" customWidth="1"/>
    <col min="1049" max="1277" width="9" style="73"/>
    <col min="1278" max="1278" width="3.875" style="73" bestFit="1" customWidth="1"/>
    <col min="1279" max="1279" width="16" style="73" bestFit="1" customWidth="1"/>
    <col min="1280" max="1280" width="16.625" style="73" bestFit="1" customWidth="1"/>
    <col min="1281" max="1281" width="13.5" style="73" bestFit="1" customWidth="1"/>
    <col min="1282" max="1283" width="10.875" style="73" bestFit="1" customWidth="1"/>
    <col min="1284" max="1284" width="6.25" style="73" bestFit="1" customWidth="1"/>
    <col min="1285" max="1285" width="8.875" style="73" bestFit="1" customWidth="1"/>
    <col min="1286" max="1286" width="13.875" style="73" bestFit="1" customWidth="1"/>
    <col min="1287" max="1287" width="13.25" style="73" bestFit="1" customWidth="1"/>
    <col min="1288" max="1288" width="16" style="73" bestFit="1" customWidth="1"/>
    <col min="1289" max="1289" width="11.625" style="73" bestFit="1" customWidth="1"/>
    <col min="1290" max="1290" width="16.875" style="73" customWidth="1"/>
    <col min="1291" max="1291" width="13.25" style="73" customWidth="1"/>
    <col min="1292" max="1292" width="18.375" style="73" bestFit="1" customWidth="1"/>
    <col min="1293" max="1293" width="15" style="73" bestFit="1" customWidth="1"/>
    <col min="1294" max="1294" width="14.75" style="73" bestFit="1" customWidth="1"/>
    <col min="1295" max="1295" width="14.625" style="73" bestFit="1" customWidth="1"/>
    <col min="1296" max="1296" width="13.75" style="73" bestFit="1" customWidth="1"/>
    <col min="1297" max="1297" width="14.25" style="73" bestFit="1" customWidth="1"/>
    <col min="1298" max="1298" width="15.125" style="73" customWidth="1"/>
    <col min="1299" max="1299" width="20.5" style="73" bestFit="1" customWidth="1"/>
    <col min="1300" max="1300" width="27.875" style="73" bestFit="1" customWidth="1"/>
    <col min="1301" max="1301" width="6.875" style="73" bestFit="1" customWidth="1"/>
    <col min="1302" max="1302" width="5" style="73" bestFit="1" customWidth="1"/>
    <col min="1303" max="1303" width="8" style="73" bestFit="1" customWidth="1"/>
    <col min="1304" max="1304" width="11.875" style="73" bestFit="1" customWidth="1"/>
    <col min="1305" max="1533" width="9" style="73"/>
    <col min="1534" max="1534" width="3.875" style="73" bestFit="1" customWidth="1"/>
    <col min="1535" max="1535" width="16" style="73" bestFit="1" customWidth="1"/>
    <col min="1536" max="1536" width="16.625" style="73" bestFit="1" customWidth="1"/>
    <col min="1537" max="1537" width="13.5" style="73" bestFit="1" customWidth="1"/>
    <col min="1538" max="1539" width="10.875" style="73" bestFit="1" customWidth="1"/>
    <col min="1540" max="1540" width="6.25" style="73" bestFit="1" customWidth="1"/>
    <col min="1541" max="1541" width="8.875" style="73" bestFit="1" customWidth="1"/>
    <col min="1542" max="1542" width="13.875" style="73" bestFit="1" customWidth="1"/>
    <col min="1543" max="1543" width="13.25" style="73" bestFit="1" customWidth="1"/>
    <col min="1544" max="1544" width="16" style="73" bestFit="1" customWidth="1"/>
    <col min="1545" max="1545" width="11.625" style="73" bestFit="1" customWidth="1"/>
    <col min="1546" max="1546" width="16.875" style="73" customWidth="1"/>
    <col min="1547" max="1547" width="13.25" style="73" customWidth="1"/>
    <col min="1548" max="1548" width="18.375" style="73" bestFit="1" customWidth="1"/>
    <col min="1549" max="1549" width="15" style="73" bestFit="1" customWidth="1"/>
    <col min="1550" max="1550" width="14.75" style="73" bestFit="1" customWidth="1"/>
    <col min="1551" max="1551" width="14.625" style="73" bestFit="1" customWidth="1"/>
    <col min="1552" max="1552" width="13.75" style="73" bestFit="1" customWidth="1"/>
    <col min="1553" max="1553" width="14.25" style="73" bestFit="1" customWidth="1"/>
    <col min="1554" max="1554" width="15.125" style="73" customWidth="1"/>
    <col min="1555" max="1555" width="20.5" style="73" bestFit="1" customWidth="1"/>
    <col min="1556" max="1556" width="27.875" style="73" bestFit="1" customWidth="1"/>
    <col min="1557" max="1557" width="6.875" style="73" bestFit="1" customWidth="1"/>
    <col min="1558" max="1558" width="5" style="73" bestFit="1" customWidth="1"/>
    <col min="1559" max="1559" width="8" style="73" bestFit="1" customWidth="1"/>
    <col min="1560" max="1560" width="11.875" style="73" bestFit="1" customWidth="1"/>
    <col min="1561" max="1789" width="9" style="73"/>
    <col min="1790" max="1790" width="3.875" style="73" bestFit="1" customWidth="1"/>
    <col min="1791" max="1791" width="16" style="73" bestFit="1" customWidth="1"/>
    <col min="1792" max="1792" width="16.625" style="73" bestFit="1" customWidth="1"/>
    <col min="1793" max="1793" width="13.5" style="73" bestFit="1" customWidth="1"/>
    <col min="1794" max="1795" width="10.875" style="73" bestFit="1" customWidth="1"/>
    <col min="1796" max="1796" width="6.25" style="73" bestFit="1" customWidth="1"/>
    <col min="1797" max="1797" width="8.875" style="73" bestFit="1" customWidth="1"/>
    <col min="1798" max="1798" width="13.875" style="73" bestFit="1" customWidth="1"/>
    <col min="1799" max="1799" width="13.25" style="73" bestFit="1" customWidth="1"/>
    <col min="1800" max="1800" width="16" style="73" bestFit="1" customWidth="1"/>
    <col min="1801" max="1801" width="11.625" style="73" bestFit="1" customWidth="1"/>
    <col min="1802" max="1802" width="16.875" style="73" customWidth="1"/>
    <col min="1803" max="1803" width="13.25" style="73" customWidth="1"/>
    <col min="1804" max="1804" width="18.375" style="73" bestFit="1" customWidth="1"/>
    <col min="1805" max="1805" width="15" style="73" bestFit="1" customWidth="1"/>
    <col min="1806" max="1806" width="14.75" style="73" bestFit="1" customWidth="1"/>
    <col min="1807" max="1807" width="14.625" style="73" bestFit="1" customWidth="1"/>
    <col min="1808" max="1808" width="13.75" style="73" bestFit="1" customWidth="1"/>
    <col min="1809" max="1809" width="14.25" style="73" bestFit="1" customWidth="1"/>
    <col min="1810" max="1810" width="15.125" style="73" customWidth="1"/>
    <col min="1811" max="1811" width="20.5" style="73" bestFit="1" customWidth="1"/>
    <col min="1812" max="1812" width="27.875" style="73" bestFit="1" customWidth="1"/>
    <col min="1813" max="1813" width="6.875" style="73" bestFit="1" customWidth="1"/>
    <col min="1814" max="1814" width="5" style="73" bestFit="1" customWidth="1"/>
    <col min="1815" max="1815" width="8" style="73" bestFit="1" customWidth="1"/>
    <col min="1816" max="1816" width="11.875" style="73" bestFit="1" customWidth="1"/>
    <col min="1817" max="2045" width="9" style="73"/>
    <col min="2046" max="2046" width="3.875" style="73" bestFit="1" customWidth="1"/>
    <col min="2047" max="2047" width="16" style="73" bestFit="1" customWidth="1"/>
    <col min="2048" max="2048" width="16.625" style="73" bestFit="1" customWidth="1"/>
    <col min="2049" max="2049" width="13.5" style="73" bestFit="1" customWidth="1"/>
    <col min="2050" max="2051" width="10.875" style="73" bestFit="1" customWidth="1"/>
    <col min="2052" max="2052" width="6.25" style="73" bestFit="1" customWidth="1"/>
    <col min="2053" max="2053" width="8.875" style="73" bestFit="1" customWidth="1"/>
    <col min="2054" max="2054" width="13.875" style="73" bestFit="1" customWidth="1"/>
    <col min="2055" max="2055" width="13.25" style="73" bestFit="1" customWidth="1"/>
    <col min="2056" max="2056" width="16" style="73" bestFit="1" customWidth="1"/>
    <col min="2057" max="2057" width="11.625" style="73" bestFit="1" customWidth="1"/>
    <col min="2058" max="2058" width="16.875" style="73" customWidth="1"/>
    <col min="2059" max="2059" width="13.25" style="73" customWidth="1"/>
    <col min="2060" max="2060" width="18.375" style="73" bestFit="1" customWidth="1"/>
    <col min="2061" max="2061" width="15" style="73" bestFit="1" customWidth="1"/>
    <col min="2062" max="2062" width="14.75" style="73" bestFit="1" customWidth="1"/>
    <col min="2063" max="2063" width="14.625" style="73" bestFit="1" customWidth="1"/>
    <col min="2064" max="2064" width="13.75" style="73" bestFit="1" customWidth="1"/>
    <col min="2065" max="2065" width="14.25" style="73" bestFit="1" customWidth="1"/>
    <col min="2066" max="2066" width="15.125" style="73" customWidth="1"/>
    <col min="2067" max="2067" width="20.5" style="73" bestFit="1" customWidth="1"/>
    <col min="2068" max="2068" width="27.875" style="73" bestFit="1" customWidth="1"/>
    <col min="2069" max="2069" width="6.875" style="73" bestFit="1" customWidth="1"/>
    <col min="2070" max="2070" width="5" style="73" bestFit="1" customWidth="1"/>
    <col min="2071" max="2071" width="8" style="73" bestFit="1" customWidth="1"/>
    <col min="2072" max="2072" width="11.875" style="73" bestFit="1" customWidth="1"/>
    <col min="2073" max="2301" width="9" style="73"/>
    <col min="2302" max="2302" width="3.875" style="73" bestFit="1" customWidth="1"/>
    <col min="2303" max="2303" width="16" style="73" bestFit="1" customWidth="1"/>
    <col min="2304" max="2304" width="16.625" style="73" bestFit="1" customWidth="1"/>
    <col min="2305" max="2305" width="13.5" style="73" bestFit="1" customWidth="1"/>
    <col min="2306" max="2307" width="10.875" style="73" bestFit="1" customWidth="1"/>
    <col min="2308" max="2308" width="6.25" style="73" bestFit="1" customWidth="1"/>
    <col min="2309" max="2309" width="8.875" style="73" bestFit="1" customWidth="1"/>
    <col min="2310" max="2310" width="13.875" style="73" bestFit="1" customWidth="1"/>
    <col min="2311" max="2311" width="13.25" style="73" bestFit="1" customWidth="1"/>
    <col min="2312" max="2312" width="16" style="73" bestFit="1" customWidth="1"/>
    <col min="2313" max="2313" width="11.625" style="73" bestFit="1" customWidth="1"/>
    <col min="2314" max="2314" width="16.875" style="73" customWidth="1"/>
    <col min="2315" max="2315" width="13.25" style="73" customWidth="1"/>
    <col min="2316" max="2316" width="18.375" style="73" bestFit="1" customWidth="1"/>
    <col min="2317" max="2317" width="15" style="73" bestFit="1" customWidth="1"/>
    <col min="2318" max="2318" width="14.75" style="73" bestFit="1" customWidth="1"/>
    <col min="2319" max="2319" width="14.625" style="73" bestFit="1" customWidth="1"/>
    <col min="2320" max="2320" width="13.75" style="73" bestFit="1" customWidth="1"/>
    <col min="2321" max="2321" width="14.25" style="73" bestFit="1" customWidth="1"/>
    <col min="2322" max="2322" width="15.125" style="73" customWidth="1"/>
    <col min="2323" max="2323" width="20.5" style="73" bestFit="1" customWidth="1"/>
    <col min="2324" max="2324" width="27.875" style="73" bestFit="1" customWidth="1"/>
    <col min="2325" max="2325" width="6.875" style="73" bestFit="1" customWidth="1"/>
    <col min="2326" max="2326" width="5" style="73" bestFit="1" customWidth="1"/>
    <col min="2327" max="2327" width="8" style="73" bestFit="1" customWidth="1"/>
    <col min="2328" max="2328" width="11.875" style="73" bestFit="1" customWidth="1"/>
    <col min="2329" max="2557" width="9" style="73"/>
    <col min="2558" max="2558" width="3.875" style="73" bestFit="1" customWidth="1"/>
    <col min="2559" max="2559" width="16" style="73" bestFit="1" customWidth="1"/>
    <col min="2560" max="2560" width="16.625" style="73" bestFit="1" customWidth="1"/>
    <col min="2561" max="2561" width="13.5" style="73" bestFit="1" customWidth="1"/>
    <col min="2562" max="2563" width="10.875" style="73" bestFit="1" customWidth="1"/>
    <col min="2564" max="2564" width="6.25" style="73" bestFit="1" customWidth="1"/>
    <col min="2565" max="2565" width="8.875" style="73" bestFit="1" customWidth="1"/>
    <col min="2566" max="2566" width="13.875" style="73" bestFit="1" customWidth="1"/>
    <col min="2567" max="2567" width="13.25" style="73" bestFit="1" customWidth="1"/>
    <col min="2568" max="2568" width="16" style="73" bestFit="1" customWidth="1"/>
    <col min="2569" max="2569" width="11.625" style="73" bestFit="1" customWidth="1"/>
    <col min="2570" max="2570" width="16.875" style="73" customWidth="1"/>
    <col min="2571" max="2571" width="13.25" style="73" customWidth="1"/>
    <col min="2572" max="2572" width="18.375" style="73" bestFit="1" customWidth="1"/>
    <col min="2573" max="2573" width="15" style="73" bestFit="1" customWidth="1"/>
    <col min="2574" max="2574" width="14.75" style="73" bestFit="1" customWidth="1"/>
    <col min="2575" max="2575" width="14.625" style="73" bestFit="1" customWidth="1"/>
    <col min="2576" max="2576" width="13.75" style="73" bestFit="1" customWidth="1"/>
    <col min="2577" max="2577" width="14.25" style="73" bestFit="1" customWidth="1"/>
    <col min="2578" max="2578" width="15.125" style="73" customWidth="1"/>
    <col min="2579" max="2579" width="20.5" style="73" bestFit="1" customWidth="1"/>
    <col min="2580" max="2580" width="27.875" style="73" bestFit="1" customWidth="1"/>
    <col min="2581" max="2581" width="6.875" style="73" bestFit="1" customWidth="1"/>
    <col min="2582" max="2582" width="5" style="73" bestFit="1" customWidth="1"/>
    <col min="2583" max="2583" width="8" style="73" bestFit="1" customWidth="1"/>
    <col min="2584" max="2584" width="11.875" style="73" bestFit="1" customWidth="1"/>
    <col min="2585" max="2813" width="9" style="73"/>
    <col min="2814" max="2814" width="3.875" style="73" bestFit="1" customWidth="1"/>
    <col min="2815" max="2815" width="16" style="73" bestFit="1" customWidth="1"/>
    <col min="2816" max="2816" width="16.625" style="73" bestFit="1" customWidth="1"/>
    <col min="2817" max="2817" width="13.5" style="73" bestFit="1" customWidth="1"/>
    <col min="2818" max="2819" width="10.875" style="73" bestFit="1" customWidth="1"/>
    <col min="2820" max="2820" width="6.25" style="73" bestFit="1" customWidth="1"/>
    <col min="2821" max="2821" width="8.875" style="73" bestFit="1" customWidth="1"/>
    <col min="2822" max="2822" width="13.875" style="73" bestFit="1" customWidth="1"/>
    <col min="2823" max="2823" width="13.25" style="73" bestFit="1" customWidth="1"/>
    <col min="2824" max="2824" width="16" style="73" bestFit="1" customWidth="1"/>
    <col min="2825" max="2825" width="11.625" style="73" bestFit="1" customWidth="1"/>
    <col min="2826" max="2826" width="16.875" style="73" customWidth="1"/>
    <col min="2827" max="2827" width="13.25" style="73" customWidth="1"/>
    <col min="2828" max="2828" width="18.375" style="73" bestFit="1" customWidth="1"/>
    <col min="2829" max="2829" width="15" style="73" bestFit="1" customWidth="1"/>
    <col min="2830" max="2830" width="14.75" style="73" bestFit="1" customWidth="1"/>
    <col min="2831" max="2831" width="14.625" style="73" bestFit="1" customWidth="1"/>
    <col min="2832" max="2832" width="13.75" style="73" bestFit="1" customWidth="1"/>
    <col min="2833" max="2833" width="14.25" style="73" bestFit="1" customWidth="1"/>
    <col min="2834" max="2834" width="15.125" style="73" customWidth="1"/>
    <col min="2835" max="2835" width="20.5" style="73" bestFit="1" customWidth="1"/>
    <col min="2836" max="2836" width="27.875" style="73" bestFit="1" customWidth="1"/>
    <col min="2837" max="2837" width="6.875" style="73" bestFit="1" customWidth="1"/>
    <col min="2838" max="2838" width="5" style="73" bestFit="1" customWidth="1"/>
    <col min="2839" max="2839" width="8" style="73" bestFit="1" customWidth="1"/>
    <col min="2840" max="2840" width="11.875" style="73" bestFit="1" customWidth="1"/>
    <col min="2841" max="3069" width="9" style="73"/>
    <col min="3070" max="3070" width="3.875" style="73" bestFit="1" customWidth="1"/>
    <col min="3071" max="3071" width="16" style="73" bestFit="1" customWidth="1"/>
    <col min="3072" max="3072" width="16.625" style="73" bestFit="1" customWidth="1"/>
    <col min="3073" max="3073" width="13.5" style="73" bestFit="1" customWidth="1"/>
    <col min="3074" max="3075" width="10.875" style="73" bestFit="1" customWidth="1"/>
    <col min="3076" max="3076" width="6.25" style="73" bestFit="1" customWidth="1"/>
    <col min="3077" max="3077" width="8.875" style="73" bestFit="1" customWidth="1"/>
    <col min="3078" max="3078" width="13.875" style="73" bestFit="1" customWidth="1"/>
    <col min="3079" max="3079" width="13.25" style="73" bestFit="1" customWidth="1"/>
    <col min="3080" max="3080" width="16" style="73" bestFit="1" customWidth="1"/>
    <col min="3081" max="3081" width="11.625" style="73" bestFit="1" customWidth="1"/>
    <col min="3082" max="3082" width="16.875" style="73" customWidth="1"/>
    <col min="3083" max="3083" width="13.25" style="73" customWidth="1"/>
    <col min="3084" max="3084" width="18.375" style="73" bestFit="1" customWidth="1"/>
    <col min="3085" max="3085" width="15" style="73" bestFit="1" customWidth="1"/>
    <col min="3086" max="3086" width="14.75" style="73" bestFit="1" customWidth="1"/>
    <col min="3087" max="3087" width="14.625" style="73" bestFit="1" customWidth="1"/>
    <col min="3088" max="3088" width="13.75" style="73" bestFit="1" customWidth="1"/>
    <col min="3089" max="3089" width="14.25" style="73" bestFit="1" customWidth="1"/>
    <col min="3090" max="3090" width="15.125" style="73" customWidth="1"/>
    <col min="3091" max="3091" width="20.5" style="73" bestFit="1" customWidth="1"/>
    <col min="3092" max="3092" width="27.875" style="73" bestFit="1" customWidth="1"/>
    <col min="3093" max="3093" width="6.875" style="73" bestFit="1" customWidth="1"/>
    <col min="3094" max="3094" width="5" style="73" bestFit="1" customWidth="1"/>
    <col min="3095" max="3095" width="8" style="73" bestFit="1" customWidth="1"/>
    <col min="3096" max="3096" width="11.875" style="73" bestFit="1" customWidth="1"/>
    <col min="3097" max="3325" width="9" style="73"/>
    <col min="3326" max="3326" width="3.875" style="73" bestFit="1" customWidth="1"/>
    <col min="3327" max="3327" width="16" style="73" bestFit="1" customWidth="1"/>
    <col min="3328" max="3328" width="16.625" style="73" bestFit="1" customWidth="1"/>
    <col min="3329" max="3329" width="13.5" style="73" bestFit="1" customWidth="1"/>
    <col min="3330" max="3331" width="10.875" style="73" bestFit="1" customWidth="1"/>
    <col min="3332" max="3332" width="6.25" style="73" bestFit="1" customWidth="1"/>
    <col min="3333" max="3333" width="8.875" style="73" bestFit="1" customWidth="1"/>
    <col min="3334" max="3334" width="13.875" style="73" bestFit="1" customWidth="1"/>
    <col min="3335" max="3335" width="13.25" style="73" bestFit="1" customWidth="1"/>
    <col min="3336" max="3336" width="16" style="73" bestFit="1" customWidth="1"/>
    <col min="3337" max="3337" width="11.625" style="73" bestFit="1" customWidth="1"/>
    <col min="3338" max="3338" width="16.875" style="73" customWidth="1"/>
    <col min="3339" max="3339" width="13.25" style="73" customWidth="1"/>
    <col min="3340" max="3340" width="18.375" style="73" bestFit="1" customWidth="1"/>
    <col min="3341" max="3341" width="15" style="73" bestFit="1" customWidth="1"/>
    <col min="3342" max="3342" width="14.75" style="73" bestFit="1" customWidth="1"/>
    <col min="3343" max="3343" width="14.625" style="73" bestFit="1" customWidth="1"/>
    <col min="3344" max="3344" width="13.75" style="73" bestFit="1" customWidth="1"/>
    <col min="3345" max="3345" width="14.25" style="73" bestFit="1" customWidth="1"/>
    <col min="3346" max="3346" width="15.125" style="73" customWidth="1"/>
    <col min="3347" max="3347" width="20.5" style="73" bestFit="1" customWidth="1"/>
    <col min="3348" max="3348" width="27.875" style="73" bestFit="1" customWidth="1"/>
    <col min="3349" max="3349" width="6.875" style="73" bestFit="1" customWidth="1"/>
    <col min="3350" max="3350" width="5" style="73" bestFit="1" customWidth="1"/>
    <col min="3351" max="3351" width="8" style="73" bestFit="1" customWidth="1"/>
    <col min="3352" max="3352" width="11.875" style="73" bestFit="1" customWidth="1"/>
    <col min="3353" max="3581" width="9" style="73"/>
    <col min="3582" max="3582" width="3.875" style="73" bestFit="1" customWidth="1"/>
    <col min="3583" max="3583" width="16" style="73" bestFit="1" customWidth="1"/>
    <col min="3584" max="3584" width="16.625" style="73" bestFit="1" customWidth="1"/>
    <col min="3585" max="3585" width="13.5" style="73" bestFit="1" customWidth="1"/>
    <col min="3586" max="3587" width="10.875" style="73" bestFit="1" customWidth="1"/>
    <col min="3588" max="3588" width="6.25" style="73" bestFit="1" customWidth="1"/>
    <col min="3589" max="3589" width="8.875" style="73" bestFit="1" customWidth="1"/>
    <col min="3590" max="3590" width="13.875" style="73" bestFit="1" customWidth="1"/>
    <col min="3591" max="3591" width="13.25" style="73" bestFit="1" customWidth="1"/>
    <col min="3592" max="3592" width="16" style="73" bestFit="1" customWidth="1"/>
    <col min="3593" max="3593" width="11.625" style="73" bestFit="1" customWidth="1"/>
    <col min="3594" max="3594" width="16.875" style="73" customWidth="1"/>
    <col min="3595" max="3595" width="13.25" style="73" customWidth="1"/>
    <col min="3596" max="3596" width="18.375" style="73" bestFit="1" customWidth="1"/>
    <col min="3597" max="3597" width="15" style="73" bestFit="1" customWidth="1"/>
    <col min="3598" max="3598" width="14.75" style="73" bestFit="1" customWidth="1"/>
    <col min="3599" max="3599" width="14.625" style="73" bestFit="1" customWidth="1"/>
    <col min="3600" max="3600" width="13.75" style="73" bestFit="1" customWidth="1"/>
    <col min="3601" max="3601" width="14.25" style="73" bestFit="1" customWidth="1"/>
    <col min="3602" max="3602" width="15.125" style="73" customWidth="1"/>
    <col min="3603" max="3603" width="20.5" style="73" bestFit="1" customWidth="1"/>
    <col min="3604" max="3604" width="27.875" style="73" bestFit="1" customWidth="1"/>
    <col min="3605" max="3605" width="6.875" style="73" bestFit="1" customWidth="1"/>
    <col min="3606" max="3606" width="5" style="73" bestFit="1" customWidth="1"/>
    <col min="3607" max="3607" width="8" style="73" bestFit="1" customWidth="1"/>
    <col min="3608" max="3608" width="11.875" style="73" bestFit="1" customWidth="1"/>
    <col min="3609" max="3837" width="9" style="73"/>
    <col min="3838" max="3838" width="3.875" style="73" bestFit="1" customWidth="1"/>
    <col min="3839" max="3839" width="16" style="73" bestFit="1" customWidth="1"/>
    <col min="3840" max="3840" width="16.625" style="73" bestFit="1" customWidth="1"/>
    <col min="3841" max="3841" width="13.5" style="73" bestFit="1" customWidth="1"/>
    <col min="3842" max="3843" width="10.875" style="73" bestFit="1" customWidth="1"/>
    <col min="3844" max="3844" width="6.25" style="73" bestFit="1" customWidth="1"/>
    <col min="3845" max="3845" width="8.875" style="73" bestFit="1" customWidth="1"/>
    <col min="3846" max="3846" width="13.875" style="73" bestFit="1" customWidth="1"/>
    <col min="3847" max="3847" width="13.25" style="73" bestFit="1" customWidth="1"/>
    <col min="3848" max="3848" width="16" style="73" bestFit="1" customWidth="1"/>
    <col min="3849" max="3849" width="11.625" style="73" bestFit="1" customWidth="1"/>
    <col min="3850" max="3850" width="16.875" style="73" customWidth="1"/>
    <col min="3851" max="3851" width="13.25" style="73" customWidth="1"/>
    <col min="3852" max="3852" width="18.375" style="73" bestFit="1" customWidth="1"/>
    <col min="3853" max="3853" width="15" style="73" bestFit="1" customWidth="1"/>
    <col min="3854" max="3854" width="14.75" style="73" bestFit="1" customWidth="1"/>
    <col min="3855" max="3855" width="14.625" style="73" bestFit="1" customWidth="1"/>
    <col min="3856" max="3856" width="13.75" style="73" bestFit="1" customWidth="1"/>
    <col min="3857" max="3857" width="14.25" style="73" bestFit="1" customWidth="1"/>
    <col min="3858" max="3858" width="15.125" style="73" customWidth="1"/>
    <col min="3859" max="3859" width="20.5" style="73" bestFit="1" customWidth="1"/>
    <col min="3860" max="3860" width="27.875" style="73" bestFit="1" customWidth="1"/>
    <col min="3861" max="3861" width="6.875" style="73" bestFit="1" customWidth="1"/>
    <col min="3862" max="3862" width="5" style="73" bestFit="1" customWidth="1"/>
    <col min="3863" max="3863" width="8" style="73" bestFit="1" customWidth="1"/>
    <col min="3864" max="3864" width="11.875" style="73" bestFit="1" customWidth="1"/>
    <col min="3865" max="4093" width="9" style="73"/>
    <col min="4094" max="4094" width="3.875" style="73" bestFit="1" customWidth="1"/>
    <col min="4095" max="4095" width="16" style="73" bestFit="1" customWidth="1"/>
    <col min="4096" max="4096" width="16.625" style="73" bestFit="1" customWidth="1"/>
    <col min="4097" max="4097" width="13.5" style="73" bestFit="1" customWidth="1"/>
    <col min="4098" max="4099" width="10.875" style="73" bestFit="1" customWidth="1"/>
    <col min="4100" max="4100" width="6.25" style="73" bestFit="1" customWidth="1"/>
    <col min="4101" max="4101" width="8.875" style="73" bestFit="1" customWidth="1"/>
    <col min="4102" max="4102" width="13.875" style="73" bestFit="1" customWidth="1"/>
    <col min="4103" max="4103" width="13.25" style="73" bestFit="1" customWidth="1"/>
    <col min="4104" max="4104" width="16" style="73" bestFit="1" customWidth="1"/>
    <col min="4105" max="4105" width="11.625" style="73" bestFit="1" customWidth="1"/>
    <col min="4106" max="4106" width="16.875" style="73" customWidth="1"/>
    <col min="4107" max="4107" width="13.25" style="73" customWidth="1"/>
    <col min="4108" max="4108" width="18.375" style="73" bestFit="1" customWidth="1"/>
    <col min="4109" max="4109" width="15" style="73" bestFit="1" customWidth="1"/>
    <col min="4110" max="4110" width="14.75" style="73" bestFit="1" customWidth="1"/>
    <col min="4111" max="4111" width="14.625" style="73" bestFit="1" customWidth="1"/>
    <col min="4112" max="4112" width="13.75" style="73" bestFit="1" customWidth="1"/>
    <col min="4113" max="4113" width="14.25" style="73" bestFit="1" customWidth="1"/>
    <col min="4114" max="4114" width="15.125" style="73" customWidth="1"/>
    <col min="4115" max="4115" width="20.5" style="73" bestFit="1" customWidth="1"/>
    <col min="4116" max="4116" width="27.875" style="73" bestFit="1" customWidth="1"/>
    <col min="4117" max="4117" width="6.875" style="73" bestFit="1" customWidth="1"/>
    <col min="4118" max="4118" width="5" style="73" bestFit="1" customWidth="1"/>
    <col min="4119" max="4119" width="8" style="73" bestFit="1" customWidth="1"/>
    <col min="4120" max="4120" width="11.875" style="73" bestFit="1" customWidth="1"/>
    <col min="4121" max="4349" width="9" style="73"/>
    <col min="4350" max="4350" width="3.875" style="73" bestFit="1" customWidth="1"/>
    <col min="4351" max="4351" width="16" style="73" bestFit="1" customWidth="1"/>
    <col min="4352" max="4352" width="16.625" style="73" bestFit="1" customWidth="1"/>
    <col min="4353" max="4353" width="13.5" style="73" bestFit="1" customWidth="1"/>
    <col min="4354" max="4355" width="10.875" style="73" bestFit="1" customWidth="1"/>
    <col min="4356" max="4356" width="6.25" style="73" bestFit="1" customWidth="1"/>
    <col min="4357" max="4357" width="8.875" style="73" bestFit="1" customWidth="1"/>
    <col min="4358" max="4358" width="13.875" style="73" bestFit="1" customWidth="1"/>
    <col min="4359" max="4359" width="13.25" style="73" bestFit="1" customWidth="1"/>
    <col min="4360" max="4360" width="16" style="73" bestFit="1" customWidth="1"/>
    <col min="4361" max="4361" width="11.625" style="73" bestFit="1" customWidth="1"/>
    <col min="4362" max="4362" width="16.875" style="73" customWidth="1"/>
    <col min="4363" max="4363" width="13.25" style="73" customWidth="1"/>
    <col min="4364" max="4364" width="18.375" style="73" bestFit="1" customWidth="1"/>
    <col min="4365" max="4365" width="15" style="73" bestFit="1" customWidth="1"/>
    <col min="4366" max="4366" width="14.75" style="73" bestFit="1" customWidth="1"/>
    <col min="4367" max="4367" width="14.625" style="73" bestFit="1" customWidth="1"/>
    <col min="4368" max="4368" width="13.75" style="73" bestFit="1" customWidth="1"/>
    <col min="4369" max="4369" width="14.25" style="73" bestFit="1" customWidth="1"/>
    <col min="4370" max="4370" width="15.125" style="73" customWidth="1"/>
    <col min="4371" max="4371" width="20.5" style="73" bestFit="1" customWidth="1"/>
    <col min="4372" max="4372" width="27.875" style="73" bestFit="1" customWidth="1"/>
    <col min="4373" max="4373" width="6.875" style="73" bestFit="1" customWidth="1"/>
    <col min="4374" max="4374" width="5" style="73" bestFit="1" customWidth="1"/>
    <col min="4375" max="4375" width="8" style="73" bestFit="1" customWidth="1"/>
    <col min="4376" max="4376" width="11.875" style="73" bestFit="1" customWidth="1"/>
    <col min="4377" max="4605" width="9" style="73"/>
    <col min="4606" max="4606" width="3.875" style="73" bestFit="1" customWidth="1"/>
    <col min="4607" max="4607" width="16" style="73" bestFit="1" customWidth="1"/>
    <col min="4608" max="4608" width="16.625" style="73" bestFit="1" customWidth="1"/>
    <col min="4609" max="4609" width="13.5" style="73" bestFit="1" customWidth="1"/>
    <col min="4610" max="4611" width="10.875" style="73" bestFit="1" customWidth="1"/>
    <col min="4612" max="4612" width="6.25" style="73" bestFit="1" customWidth="1"/>
    <col min="4613" max="4613" width="8.875" style="73" bestFit="1" customWidth="1"/>
    <col min="4614" max="4614" width="13.875" style="73" bestFit="1" customWidth="1"/>
    <col min="4615" max="4615" width="13.25" style="73" bestFit="1" customWidth="1"/>
    <col min="4616" max="4616" width="16" style="73" bestFit="1" customWidth="1"/>
    <col min="4617" max="4617" width="11.625" style="73" bestFit="1" customWidth="1"/>
    <col min="4618" max="4618" width="16.875" style="73" customWidth="1"/>
    <col min="4619" max="4619" width="13.25" style="73" customWidth="1"/>
    <col min="4620" max="4620" width="18.375" style="73" bestFit="1" customWidth="1"/>
    <col min="4621" max="4621" width="15" style="73" bestFit="1" customWidth="1"/>
    <col min="4622" max="4622" width="14.75" style="73" bestFit="1" customWidth="1"/>
    <col min="4623" max="4623" width="14.625" style="73" bestFit="1" customWidth="1"/>
    <col min="4624" max="4624" width="13.75" style="73" bestFit="1" customWidth="1"/>
    <col min="4625" max="4625" width="14.25" style="73" bestFit="1" customWidth="1"/>
    <col min="4626" max="4626" width="15.125" style="73" customWidth="1"/>
    <col min="4627" max="4627" width="20.5" style="73" bestFit="1" customWidth="1"/>
    <col min="4628" max="4628" width="27.875" style="73" bestFit="1" customWidth="1"/>
    <col min="4629" max="4629" width="6.875" style="73" bestFit="1" customWidth="1"/>
    <col min="4630" max="4630" width="5" style="73" bestFit="1" customWidth="1"/>
    <col min="4631" max="4631" width="8" style="73" bestFit="1" customWidth="1"/>
    <col min="4632" max="4632" width="11.875" style="73" bestFit="1" customWidth="1"/>
    <col min="4633" max="4861" width="9" style="73"/>
    <col min="4862" max="4862" width="3.875" style="73" bestFit="1" customWidth="1"/>
    <col min="4863" max="4863" width="16" style="73" bestFit="1" customWidth="1"/>
    <col min="4864" max="4864" width="16.625" style="73" bestFit="1" customWidth="1"/>
    <col min="4865" max="4865" width="13.5" style="73" bestFit="1" customWidth="1"/>
    <col min="4866" max="4867" width="10.875" style="73" bestFit="1" customWidth="1"/>
    <col min="4868" max="4868" width="6.25" style="73" bestFit="1" customWidth="1"/>
    <col min="4869" max="4869" width="8.875" style="73" bestFit="1" customWidth="1"/>
    <col min="4870" max="4870" width="13.875" style="73" bestFit="1" customWidth="1"/>
    <col min="4871" max="4871" width="13.25" style="73" bestFit="1" customWidth="1"/>
    <col min="4872" max="4872" width="16" style="73" bestFit="1" customWidth="1"/>
    <col min="4873" max="4873" width="11.625" style="73" bestFit="1" customWidth="1"/>
    <col min="4874" max="4874" width="16.875" style="73" customWidth="1"/>
    <col min="4875" max="4875" width="13.25" style="73" customWidth="1"/>
    <col min="4876" max="4876" width="18.375" style="73" bestFit="1" customWidth="1"/>
    <col min="4877" max="4877" width="15" style="73" bestFit="1" customWidth="1"/>
    <col min="4878" max="4878" width="14.75" style="73" bestFit="1" customWidth="1"/>
    <col min="4879" max="4879" width="14.625" style="73" bestFit="1" customWidth="1"/>
    <col min="4880" max="4880" width="13.75" style="73" bestFit="1" customWidth="1"/>
    <col min="4881" max="4881" width="14.25" style="73" bestFit="1" customWidth="1"/>
    <col min="4882" max="4882" width="15.125" style="73" customWidth="1"/>
    <col min="4883" max="4883" width="20.5" style="73" bestFit="1" customWidth="1"/>
    <col min="4884" max="4884" width="27.875" style="73" bestFit="1" customWidth="1"/>
    <col min="4885" max="4885" width="6.875" style="73" bestFit="1" customWidth="1"/>
    <col min="4886" max="4886" width="5" style="73" bestFit="1" customWidth="1"/>
    <col min="4887" max="4887" width="8" style="73" bestFit="1" customWidth="1"/>
    <col min="4888" max="4888" width="11.875" style="73" bestFit="1" customWidth="1"/>
    <col min="4889" max="5117" width="9" style="73"/>
    <col min="5118" max="5118" width="3.875" style="73" bestFit="1" customWidth="1"/>
    <col min="5119" max="5119" width="16" style="73" bestFit="1" customWidth="1"/>
    <col min="5120" max="5120" width="16.625" style="73" bestFit="1" customWidth="1"/>
    <col min="5121" max="5121" width="13.5" style="73" bestFit="1" customWidth="1"/>
    <col min="5122" max="5123" width="10.875" style="73" bestFit="1" customWidth="1"/>
    <col min="5124" max="5124" width="6.25" style="73" bestFit="1" customWidth="1"/>
    <col min="5125" max="5125" width="8.875" style="73" bestFit="1" customWidth="1"/>
    <col min="5126" max="5126" width="13.875" style="73" bestFit="1" customWidth="1"/>
    <col min="5127" max="5127" width="13.25" style="73" bestFit="1" customWidth="1"/>
    <col min="5128" max="5128" width="16" style="73" bestFit="1" customWidth="1"/>
    <col min="5129" max="5129" width="11.625" style="73" bestFit="1" customWidth="1"/>
    <col min="5130" max="5130" width="16.875" style="73" customWidth="1"/>
    <col min="5131" max="5131" width="13.25" style="73" customWidth="1"/>
    <col min="5132" max="5132" width="18.375" style="73" bestFit="1" customWidth="1"/>
    <col min="5133" max="5133" width="15" style="73" bestFit="1" customWidth="1"/>
    <col min="5134" max="5134" width="14.75" style="73" bestFit="1" customWidth="1"/>
    <col min="5135" max="5135" width="14.625" style="73" bestFit="1" customWidth="1"/>
    <col min="5136" max="5136" width="13.75" style="73" bestFit="1" customWidth="1"/>
    <col min="5137" max="5137" width="14.25" style="73" bestFit="1" customWidth="1"/>
    <col min="5138" max="5138" width="15.125" style="73" customWidth="1"/>
    <col min="5139" max="5139" width="20.5" style="73" bestFit="1" customWidth="1"/>
    <col min="5140" max="5140" width="27.875" style="73" bestFit="1" customWidth="1"/>
    <col min="5141" max="5141" width="6.875" style="73" bestFit="1" customWidth="1"/>
    <col min="5142" max="5142" width="5" style="73" bestFit="1" customWidth="1"/>
    <col min="5143" max="5143" width="8" style="73" bestFit="1" customWidth="1"/>
    <col min="5144" max="5144" width="11.875" style="73" bestFit="1" customWidth="1"/>
    <col min="5145" max="5373" width="9" style="73"/>
    <col min="5374" max="5374" width="3.875" style="73" bestFit="1" customWidth="1"/>
    <col min="5375" max="5375" width="16" style="73" bestFit="1" customWidth="1"/>
    <col min="5376" max="5376" width="16.625" style="73" bestFit="1" customWidth="1"/>
    <col min="5377" max="5377" width="13.5" style="73" bestFit="1" customWidth="1"/>
    <col min="5378" max="5379" width="10.875" style="73" bestFit="1" customWidth="1"/>
    <col min="5380" max="5380" width="6.25" style="73" bestFit="1" customWidth="1"/>
    <col min="5381" max="5381" width="8.875" style="73" bestFit="1" customWidth="1"/>
    <col min="5382" max="5382" width="13.875" style="73" bestFit="1" customWidth="1"/>
    <col min="5383" max="5383" width="13.25" style="73" bestFit="1" customWidth="1"/>
    <col min="5384" max="5384" width="16" style="73" bestFit="1" customWidth="1"/>
    <col min="5385" max="5385" width="11.625" style="73" bestFit="1" customWidth="1"/>
    <col min="5386" max="5386" width="16.875" style="73" customWidth="1"/>
    <col min="5387" max="5387" width="13.25" style="73" customWidth="1"/>
    <col min="5388" max="5388" width="18.375" style="73" bestFit="1" customWidth="1"/>
    <col min="5389" max="5389" width="15" style="73" bestFit="1" customWidth="1"/>
    <col min="5390" max="5390" width="14.75" style="73" bestFit="1" customWidth="1"/>
    <col min="5391" max="5391" width="14.625" style="73" bestFit="1" customWidth="1"/>
    <col min="5392" max="5392" width="13.75" style="73" bestFit="1" customWidth="1"/>
    <col min="5393" max="5393" width="14.25" style="73" bestFit="1" customWidth="1"/>
    <col min="5394" max="5394" width="15.125" style="73" customWidth="1"/>
    <col min="5395" max="5395" width="20.5" style="73" bestFit="1" customWidth="1"/>
    <col min="5396" max="5396" width="27.875" style="73" bestFit="1" customWidth="1"/>
    <col min="5397" max="5397" width="6.875" style="73" bestFit="1" customWidth="1"/>
    <col min="5398" max="5398" width="5" style="73" bestFit="1" customWidth="1"/>
    <col min="5399" max="5399" width="8" style="73" bestFit="1" customWidth="1"/>
    <col min="5400" max="5400" width="11.875" style="73" bestFit="1" customWidth="1"/>
    <col min="5401" max="5629" width="9" style="73"/>
    <col min="5630" max="5630" width="3.875" style="73" bestFit="1" customWidth="1"/>
    <col min="5631" max="5631" width="16" style="73" bestFit="1" customWidth="1"/>
    <col min="5632" max="5632" width="16.625" style="73" bestFit="1" customWidth="1"/>
    <col min="5633" max="5633" width="13.5" style="73" bestFit="1" customWidth="1"/>
    <col min="5634" max="5635" width="10.875" style="73" bestFit="1" customWidth="1"/>
    <col min="5636" max="5636" width="6.25" style="73" bestFit="1" customWidth="1"/>
    <col min="5637" max="5637" width="8.875" style="73" bestFit="1" customWidth="1"/>
    <col min="5638" max="5638" width="13.875" style="73" bestFit="1" customWidth="1"/>
    <col min="5639" max="5639" width="13.25" style="73" bestFit="1" customWidth="1"/>
    <col min="5640" max="5640" width="16" style="73" bestFit="1" customWidth="1"/>
    <col min="5641" max="5641" width="11.625" style="73" bestFit="1" customWidth="1"/>
    <col min="5642" max="5642" width="16.875" style="73" customWidth="1"/>
    <col min="5643" max="5643" width="13.25" style="73" customWidth="1"/>
    <col min="5644" max="5644" width="18.375" style="73" bestFit="1" customWidth="1"/>
    <col min="5645" max="5645" width="15" style="73" bestFit="1" customWidth="1"/>
    <col min="5646" max="5646" width="14.75" style="73" bestFit="1" customWidth="1"/>
    <col min="5647" max="5647" width="14.625" style="73" bestFit="1" customWidth="1"/>
    <col min="5648" max="5648" width="13.75" style="73" bestFit="1" customWidth="1"/>
    <col min="5649" max="5649" width="14.25" style="73" bestFit="1" customWidth="1"/>
    <col min="5650" max="5650" width="15.125" style="73" customWidth="1"/>
    <col min="5651" max="5651" width="20.5" style="73" bestFit="1" customWidth="1"/>
    <col min="5652" max="5652" width="27.875" style="73" bestFit="1" customWidth="1"/>
    <col min="5653" max="5653" width="6.875" style="73" bestFit="1" customWidth="1"/>
    <col min="5654" max="5654" width="5" style="73" bestFit="1" customWidth="1"/>
    <col min="5655" max="5655" width="8" style="73" bestFit="1" customWidth="1"/>
    <col min="5656" max="5656" width="11.875" style="73" bestFit="1" customWidth="1"/>
    <col min="5657" max="5885" width="9" style="73"/>
    <col min="5886" max="5886" width="3.875" style="73" bestFit="1" customWidth="1"/>
    <col min="5887" max="5887" width="16" style="73" bestFit="1" customWidth="1"/>
    <col min="5888" max="5888" width="16.625" style="73" bestFit="1" customWidth="1"/>
    <col min="5889" max="5889" width="13.5" style="73" bestFit="1" customWidth="1"/>
    <col min="5890" max="5891" width="10.875" style="73" bestFit="1" customWidth="1"/>
    <col min="5892" max="5892" width="6.25" style="73" bestFit="1" customWidth="1"/>
    <col min="5893" max="5893" width="8.875" style="73" bestFit="1" customWidth="1"/>
    <col min="5894" max="5894" width="13.875" style="73" bestFit="1" customWidth="1"/>
    <col min="5895" max="5895" width="13.25" style="73" bestFit="1" customWidth="1"/>
    <col min="5896" max="5896" width="16" style="73" bestFit="1" customWidth="1"/>
    <col min="5897" max="5897" width="11.625" style="73" bestFit="1" customWidth="1"/>
    <col min="5898" max="5898" width="16.875" style="73" customWidth="1"/>
    <col min="5899" max="5899" width="13.25" style="73" customWidth="1"/>
    <col min="5900" max="5900" width="18.375" style="73" bestFit="1" customWidth="1"/>
    <col min="5901" max="5901" width="15" style="73" bestFit="1" customWidth="1"/>
    <col min="5902" max="5902" width="14.75" style="73" bestFit="1" customWidth="1"/>
    <col min="5903" max="5903" width="14.625" style="73" bestFit="1" customWidth="1"/>
    <col min="5904" max="5904" width="13.75" style="73" bestFit="1" customWidth="1"/>
    <col min="5905" max="5905" width="14.25" style="73" bestFit="1" customWidth="1"/>
    <col min="5906" max="5906" width="15.125" style="73" customWidth="1"/>
    <col min="5907" max="5907" width="20.5" style="73" bestFit="1" customWidth="1"/>
    <col min="5908" max="5908" width="27.875" style="73" bestFit="1" customWidth="1"/>
    <col min="5909" max="5909" width="6.875" style="73" bestFit="1" customWidth="1"/>
    <col min="5910" max="5910" width="5" style="73" bestFit="1" customWidth="1"/>
    <col min="5911" max="5911" width="8" style="73" bestFit="1" customWidth="1"/>
    <col min="5912" max="5912" width="11.875" style="73" bestFit="1" customWidth="1"/>
    <col min="5913" max="6141" width="9" style="73"/>
    <col min="6142" max="6142" width="3.875" style="73" bestFit="1" customWidth="1"/>
    <col min="6143" max="6143" width="16" style="73" bestFit="1" customWidth="1"/>
    <col min="6144" max="6144" width="16.625" style="73" bestFit="1" customWidth="1"/>
    <col min="6145" max="6145" width="13.5" style="73" bestFit="1" customWidth="1"/>
    <col min="6146" max="6147" width="10.875" style="73" bestFit="1" customWidth="1"/>
    <col min="6148" max="6148" width="6.25" style="73" bestFit="1" customWidth="1"/>
    <col min="6149" max="6149" width="8.875" style="73" bestFit="1" customWidth="1"/>
    <col min="6150" max="6150" width="13.875" style="73" bestFit="1" customWidth="1"/>
    <col min="6151" max="6151" width="13.25" style="73" bestFit="1" customWidth="1"/>
    <col min="6152" max="6152" width="16" style="73" bestFit="1" customWidth="1"/>
    <col min="6153" max="6153" width="11.625" style="73" bestFit="1" customWidth="1"/>
    <col min="6154" max="6154" width="16.875" style="73" customWidth="1"/>
    <col min="6155" max="6155" width="13.25" style="73" customWidth="1"/>
    <col min="6156" max="6156" width="18.375" style="73" bestFit="1" customWidth="1"/>
    <col min="6157" max="6157" width="15" style="73" bestFit="1" customWidth="1"/>
    <col min="6158" max="6158" width="14.75" style="73" bestFit="1" customWidth="1"/>
    <col min="6159" max="6159" width="14.625" style="73" bestFit="1" customWidth="1"/>
    <col min="6160" max="6160" width="13.75" style="73" bestFit="1" customWidth="1"/>
    <col min="6161" max="6161" width="14.25" style="73" bestFit="1" customWidth="1"/>
    <col min="6162" max="6162" width="15.125" style="73" customWidth="1"/>
    <col min="6163" max="6163" width="20.5" style="73" bestFit="1" customWidth="1"/>
    <col min="6164" max="6164" width="27.875" style="73" bestFit="1" customWidth="1"/>
    <col min="6165" max="6165" width="6.875" style="73" bestFit="1" customWidth="1"/>
    <col min="6166" max="6166" width="5" style="73" bestFit="1" customWidth="1"/>
    <col min="6167" max="6167" width="8" style="73" bestFit="1" customWidth="1"/>
    <col min="6168" max="6168" width="11.875" style="73" bestFit="1" customWidth="1"/>
    <col min="6169" max="6397" width="9" style="73"/>
    <col min="6398" max="6398" width="3.875" style="73" bestFit="1" customWidth="1"/>
    <col min="6399" max="6399" width="16" style="73" bestFit="1" customWidth="1"/>
    <col min="6400" max="6400" width="16.625" style="73" bestFit="1" customWidth="1"/>
    <col min="6401" max="6401" width="13.5" style="73" bestFit="1" customWidth="1"/>
    <col min="6402" max="6403" width="10.875" style="73" bestFit="1" customWidth="1"/>
    <col min="6404" max="6404" width="6.25" style="73" bestFit="1" customWidth="1"/>
    <col min="6405" max="6405" width="8.875" style="73" bestFit="1" customWidth="1"/>
    <col min="6406" max="6406" width="13.875" style="73" bestFit="1" customWidth="1"/>
    <col min="6407" max="6407" width="13.25" style="73" bestFit="1" customWidth="1"/>
    <col min="6408" max="6408" width="16" style="73" bestFit="1" customWidth="1"/>
    <col min="6409" max="6409" width="11.625" style="73" bestFit="1" customWidth="1"/>
    <col min="6410" max="6410" width="16.875" style="73" customWidth="1"/>
    <col min="6411" max="6411" width="13.25" style="73" customWidth="1"/>
    <col min="6412" max="6412" width="18.375" style="73" bestFit="1" customWidth="1"/>
    <col min="6413" max="6413" width="15" style="73" bestFit="1" customWidth="1"/>
    <col min="6414" max="6414" width="14.75" style="73" bestFit="1" customWidth="1"/>
    <col min="6415" max="6415" width="14.625" style="73" bestFit="1" customWidth="1"/>
    <col min="6416" max="6416" width="13.75" style="73" bestFit="1" customWidth="1"/>
    <col min="6417" max="6417" width="14.25" style="73" bestFit="1" customWidth="1"/>
    <col min="6418" max="6418" width="15.125" style="73" customWidth="1"/>
    <col min="6419" max="6419" width="20.5" style="73" bestFit="1" customWidth="1"/>
    <col min="6420" max="6420" width="27.875" style="73" bestFit="1" customWidth="1"/>
    <col min="6421" max="6421" width="6.875" style="73" bestFit="1" customWidth="1"/>
    <col min="6422" max="6422" width="5" style="73" bestFit="1" customWidth="1"/>
    <col min="6423" max="6423" width="8" style="73" bestFit="1" customWidth="1"/>
    <col min="6424" max="6424" width="11.875" style="73" bestFit="1" customWidth="1"/>
    <col min="6425" max="6653" width="9" style="73"/>
    <col min="6654" max="6654" width="3.875" style="73" bestFit="1" customWidth="1"/>
    <col min="6655" max="6655" width="16" style="73" bestFit="1" customWidth="1"/>
    <col min="6656" max="6656" width="16.625" style="73" bestFit="1" customWidth="1"/>
    <col min="6657" max="6657" width="13.5" style="73" bestFit="1" customWidth="1"/>
    <col min="6658" max="6659" width="10.875" style="73" bestFit="1" customWidth="1"/>
    <col min="6660" max="6660" width="6.25" style="73" bestFit="1" customWidth="1"/>
    <col min="6661" max="6661" width="8.875" style="73" bestFit="1" customWidth="1"/>
    <col min="6662" max="6662" width="13.875" style="73" bestFit="1" customWidth="1"/>
    <col min="6663" max="6663" width="13.25" style="73" bestFit="1" customWidth="1"/>
    <col min="6664" max="6664" width="16" style="73" bestFit="1" customWidth="1"/>
    <col min="6665" max="6665" width="11.625" style="73" bestFit="1" customWidth="1"/>
    <col min="6666" max="6666" width="16.875" style="73" customWidth="1"/>
    <col min="6667" max="6667" width="13.25" style="73" customWidth="1"/>
    <col min="6668" max="6668" width="18.375" style="73" bestFit="1" customWidth="1"/>
    <col min="6669" max="6669" width="15" style="73" bestFit="1" customWidth="1"/>
    <col min="6670" max="6670" width="14.75" style="73" bestFit="1" customWidth="1"/>
    <col min="6671" max="6671" width="14.625" style="73" bestFit="1" customWidth="1"/>
    <col min="6672" max="6672" width="13.75" style="73" bestFit="1" customWidth="1"/>
    <col min="6673" max="6673" width="14.25" style="73" bestFit="1" customWidth="1"/>
    <col min="6674" max="6674" width="15.125" style="73" customWidth="1"/>
    <col min="6675" max="6675" width="20.5" style="73" bestFit="1" customWidth="1"/>
    <col min="6676" max="6676" width="27.875" style="73" bestFit="1" customWidth="1"/>
    <col min="6677" max="6677" width="6.875" style="73" bestFit="1" customWidth="1"/>
    <col min="6678" max="6678" width="5" style="73" bestFit="1" customWidth="1"/>
    <col min="6679" max="6679" width="8" style="73" bestFit="1" customWidth="1"/>
    <col min="6680" max="6680" width="11.875" style="73" bestFit="1" customWidth="1"/>
    <col min="6681" max="6909" width="9" style="73"/>
    <col min="6910" max="6910" width="3.875" style="73" bestFit="1" customWidth="1"/>
    <col min="6911" max="6911" width="16" style="73" bestFit="1" customWidth="1"/>
    <col min="6912" max="6912" width="16.625" style="73" bestFit="1" customWidth="1"/>
    <col min="6913" max="6913" width="13.5" style="73" bestFit="1" customWidth="1"/>
    <col min="6914" max="6915" width="10.875" style="73" bestFit="1" customWidth="1"/>
    <col min="6916" max="6916" width="6.25" style="73" bestFit="1" customWidth="1"/>
    <col min="6917" max="6917" width="8.875" style="73" bestFit="1" customWidth="1"/>
    <col min="6918" max="6918" width="13.875" style="73" bestFit="1" customWidth="1"/>
    <col min="6919" max="6919" width="13.25" style="73" bestFit="1" customWidth="1"/>
    <col min="6920" max="6920" width="16" style="73" bestFit="1" customWidth="1"/>
    <col min="6921" max="6921" width="11.625" style="73" bestFit="1" customWidth="1"/>
    <col min="6922" max="6922" width="16.875" style="73" customWidth="1"/>
    <col min="6923" max="6923" width="13.25" style="73" customWidth="1"/>
    <col min="6924" max="6924" width="18.375" style="73" bestFit="1" customWidth="1"/>
    <col min="6925" max="6925" width="15" style="73" bestFit="1" customWidth="1"/>
    <col min="6926" max="6926" width="14.75" style="73" bestFit="1" customWidth="1"/>
    <col min="6927" max="6927" width="14.625" style="73" bestFit="1" customWidth="1"/>
    <col min="6928" max="6928" width="13.75" style="73" bestFit="1" customWidth="1"/>
    <col min="6929" max="6929" width="14.25" style="73" bestFit="1" customWidth="1"/>
    <col min="6930" max="6930" width="15.125" style="73" customWidth="1"/>
    <col min="6931" max="6931" width="20.5" style="73" bestFit="1" customWidth="1"/>
    <col min="6932" max="6932" width="27.875" style="73" bestFit="1" customWidth="1"/>
    <col min="6933" max="6933" width="6.875" style="73" bestFit="1" customWidth="1"/>
    <col min="6934" max="6934" width="5" style="73" bestFit="1" customWidth="1"/>
    <col min="6935" max="6935" width="8" style="73" bestFit="1" customWidth="1"/>
    <col min="6936" max="6936" width="11.875" style="73" bestFit="1" customWidth="1"/>
    <col min="6937" max="7165" width="9" style="73"/>
    <col min="7166" max="7166" width="3.875" style="73" bestFit="1" customWidth="1"/>
    <col min="7167" max="7167" width="16" style="73" bestFit="1" customWidth="1"/>
    <col min="7168" max="7168" width="16.625" style="73" bestFit="1" customWidth="1"/>
    <col min="7169" max="7169" width="13.5" style="73" bestFit="1" customWidth="1"/>
    <col min="7170" max="7171" width="10.875" style="73" bestFit="1" customWidth="1"/>
    <col min="7172" max="7172" width="6.25" style="73" bestFit="1" customWidth="1"/>
    <col min="7173" max="7173" width="8.875" style="73" bestFit="1" customWidth="1"/>
    <col min="7174" max="7174" width="13.875" style="73" bestFit="1" customWidth="1"/>
    <col min="7175" max="7175" width="13.25" style="73" bestFit="1" customWidth="1"/>
    <col min="7176" max="7176" width="16" style="73" bestFit="1" customWidth="1"/>
    <col min="7177" max="7177" width="11.625" style="73" bestFit="1" customWidth="1"/>
    <col min="7178" max="7178" width="16.875" style="73" customWidth="1"/>
    <col min="7179" max="7179" width="13.25" style="73" customWidth="1"/>
    <col min="7180" max="7180" width="18.375" style="73" bestFit="1" customWidth="1"/>
    <col min="7181" max="7181" width="15" style="73" bestFit="1" customWidth="1"/>
    <col min="7182" max="7182" width="14.75" style="73" bestFit="1" customWidth="1"/>
    <col min="7183" max="7183" width="14.625" style="73" bestFit="1" customWidth="1"/>
    <col min="7184" max="7184" width="13.75" style="73" bestFit="1" customWidth="1"/>
    <col min="7185" max="7185" width="14.25" style="73" bestFit="1" customWidth="1"/>
    <col min="7186" max="7186" width="15.125" style="73" customWidth="1"/>
    <col min="7187" max="7187" width="20.5" style="73" bestFit="1" customWidth="1"/>
    <col min="7188" max="7188" width="27.875" style="73" bestFit="1" customWidth="1"/>
    <col min="7189" max="7189" width="6.875" style="73" bestFit="1" customWidth="1"/>
    <col min="7190" max="7190" width="5" style="73" bestFit="1" customWidth="1"/>
    <col min="7191" max="7191" width="8" style="73" bestFit="1" customWidth="1"/>
    <col min="7192" max="7192" width="11.875" style="73" bestFit="1" customWidth="1"/>
    <col min="7193" max="7421" width="9" style="73"/>
    <col min="7422" max="7422" width="3.875" style="73" bestFit="1" customWidth="1"/>
    <col min="7423" max="7423" width="16" style="73" bestFit="1" customWidth="1"/>
    <col min="7424" max="7424" width="16.625" style="73" bestFit="1" customWidth="1"/>
    <col min="7425" max="7425" width="13.5" style="73" bestFit="1" customWidth="1"/>
    <col min="7426" max="7427" width="10.875" style="73" bestFit="1" customWidth="1"/>
    <col min="7428" max="7428" width="6.25" style="73" bestFit="1" customWidth="1"/>
    <col min="7429" max="7429" width="8.875" style="73" bestFit="1" customWidth="1"/>
    <col min="7430" max="7430" width="13.875" style="73" bestFit="1" customWidth="1"/>
    <col min="7431" max="7431" width="13.25" style="73" bestFit="1" customWidth="1"/>
    <col min="7432" max="7432" width="16" style="73" bestFit="1" customWidth="1"/>
    <col min="7433" max="7433" width="11.625" style="73" bestFit="1" customWidth="1"/>
    <col min="7434" max="7434" width="16.875" style="73" customWidth="1"/>
    <col min="7435" max="7435" width="13.25" style="73" customWidth="1"/>
    <col min="7436" max="7436" width="18.375" style="73" bestFit="1" customWidth="1"/>
    <col min="7437" max="7437" width="15" style="73" bestFit="1" customWidth="1"/>
    <col min="7438" max="7438" width="14.75" style="73" bestFit="1" customWidth="1"/>
    <col min="7439" max="7439" width="14.625" style="73" bestFit="1" customWidth="1"/>
    <col min="7440" max="7440" width="13.75" style="73" bestFit="1" customWidth="1"/>
    <col min="7441" max="7441" width="14.25" style="73" bestFit="1" customWidth="1"/>
    <col min="7442" max="7442" width="15.125" style="73" customWidth="1"/>
    <col min="7443" max="7443" width="20.5" style="73" bestFit="1" customWidth="1"/>
    <col min="7444" max="7444" width="27.875" style="73" bestFit="1" customWidth="1"/>
    <col min="7445" max="7445" width="6.875" style="73" bestFit="1" customWidth="1"/>
    <col min="7446" max="7446" width="5" style="73" bestFit="1" customWidth="1"/>
    <col min="7447" max="7447" width="8" style="73" bestFit="1" customWidth="1"/>
    <col min="7448" max="7448" width="11.875" style="73" bestFit="1" customWidth="1"/>
    <col min="7449" max="7677" width="9" style="73"/>
    <col min="7678" max="7678" width="3.875" style="73" bestFit="1" customWidth="1"/>
    <col min="7679" max="7679" width="16" style="73" bestFit="1" customWidth="1"/>
    <col min="7680" max="7680" width="16.625" style="73" bestFit="1" customWidth="1"/>
    <col min="7681" max="7681" width="13.5" style="73" bestFit="1" customWidth="1"/>
    <col min="7682" max="7683" width="10.875" style="73" bestFit="1" customWidth="1"/>
    <col min="7684" max="7684" width="6.25" style="73" bestFit="1" customWidth="1"/>
    <col min="7685" max="7685" width="8.875" style="73" bestFit="1" customWidth="1"/>
    <col min="7686" max="7686" width="13.875" style="73" bestFit="1" customWidth="1"/>
    <col min="7687" max="7687" width="13.25" style="73" bestFit="1" customWidth="1"/>
    <col min="7688" max="7688" width="16" style="73" bestFit="1" customWidth="1"/>
    <col min="7689" max="7689" width="11.625" style="73" bestFit="1" customWidth="1"/>
    <col min="7690" max="7690" width="16.875" style="73" customWidth="1"/>
    <col min="7691" max="7691" width="13.25" style="73" customWidth="1"/>
    <col min="7692" max="7692" width="18.375" style="73" bestFit="1" customWidth="1"/>
    <col min="7693" max="7693" width="15" style="73" bestFit="1" customWidth="1"/>
    <col min="7694" max="7694" width="14.75" style="73" bestFit="1" customWidth="1"/>
    <col min="7695" max="7695" width="14.625" style="73" bestFit="1" customWidth="1"/>
    <col min="7696" max="7696" width="13.75" style="73" bestFit="1" customWidth="1"/>
    <col min="7697" max="7697" width="14.25" style="73" bestFit="1" customWidth="1"/>
    <col min="7698" max="7698" width="15.125" style="73" customWidth="1"/>
    <col min="7699" max="7699" width="20.5" style="73" bestFit="1" customWidth="1"/>
    <col min="7700" max="7700" width="27.875" style="73" bestFit="1" customWidth="1"/>
    <col min="7701" max="7701" width="6.875" style="73" bestFit="1" customWidth="1"/>
    <col min="7702" max="7702" width="5" style="73" bestFit="1" customWidth="1"/>
    <col min="7703" max="7703" width="8" style="73" bestFit="1" customWidth="1"/>
    <col min="7704" max="7704" width="11.875" style="73" bestFit="1" customWidth="1"/>
    <col min="7705" max="7933" width="9" style="73"/>
    <col min="7934" max="7934" width="3.875" style="73" bestFit="1" customWidth="1"/>
    <col min="7935" max="7935" width="16" style="73" bestFit="1" customWidth="1"/>
    <col min="7936" max="7936" width="16.625" style="73" bestFit="1" customWidth="1"/>
    <col min="7937" max="7937" width="13.5" style="73" bestFit="1" customWidth="1"/>
    <col min="7938" max="7939" width="10.875" style="73" bestFit="1" customWidth="1"/>
    <col min="7940" max="7940" width="6.25" style="73" bestFit="1" customWidth="1"/>
    <col min="7941" max="7941" width="8.875" style="73" bestFit="1" customWidth="1"/>
    <col min="7942" max="7942" width="13.875" style="73" bestFit="1" customWidth="1"/>
    <col min="7943" max="7943" width="13.25" style="73" bestFit="1" customWidth="1"/>
    <col min="7944" max="7944" width="16" style="73" bestFit="1" customWidth="1"/>
    <col min="7945" max="7945" width="11.625" style="73" bestFit="1" customWidth="1"/>
    <col min="7946" max="7946" width="16.875" style="73" customWidth="1"/>
    <col min="7947" max="7947" width="13.25" style="73" customWidth="1"/>
    <col min="7948" max="7948" width="18.375" style="73" bestFit="1" customWidth="1"/>
    <col min="7949" max="7949" width="15" style="73" bestFit="1" customWidth="1"/>
    <col min="7950" max="7950" width="14.75" style="73" bestFit="1" customWidth="1"/>
    <col min="7951" max="7951" width="14.625" style="73" bestFit="1" customWidth="1"/>
    <col min="7952" max="7952" width="13.75" style="73" bestFit="1" customWidth="1"/>
    <col min="7953" max="7953" width="14.25" style="73" bestFit="1" customWidth="1"/>
    <col min="7954" max="7954" width="15.125" style="73" customWidth="1"/>
    <col min="7955" max="7955" width="20.5" style="73" bestFit="1" customWidth="1"/>
    <col min="7956" max="7956" width="27.875" style="73" bestFit="1" customWidth="1"/>
    <col min="7957" max="7957" width="6.875" style="73" bestFit="1" customWidth="1"/>
    <col min="7958" max="7958" width="5" style="73" bestFit="1" customWidth="1"/>
    <col min="7959" max="7959" width="8" style="73" bestFit="1" customWidth="1"/>
    <col min="7960" max="7960" width="11.875" style="73" bestFit="1" customWidth="1"/>
    <col min="7961" max="8189" width="9" style="73"/>
    <col min="8190" max="8190" width="3.875" style="73" bestFit="1" customWidth="1"/>
    <col min="8191" max="8191" width="16" style="73" bestFit="1" customWidth="1"/>
    <col min="8192" max="8192" width="16.625" style="73" bestFit="1" customWidth="1"/>
    <col min="8193" max="8193" width="13.5" style="73" bestFit="1" customWidth="1"/>
    <col min="8194" max="8195" width="10.875" style="73" bestFit="1" customWidth="1"/>
    <col min="8196" max="8196" width="6.25" style="73" bestFit="1" customWidth="1"/>
    <col min="8197" max="8197" width="8.875" style="73" bestFit="1" customWidth="1"/>
    <col min="8198" max="8198" width="13.875" style="73" bestFit="1" customWidth="1"/>
    <col min="8199" max="8199" width="13.25" style="73" bestFit="1" customWidth="1"/>
    <col min="8200" max="8200" width="16" style="73" bestFit="1" customWidth="1"/>
    <col min="8201" max="8201" width="11.625" style="73" bestFit="1" customWidth="1"/>
    <col min="8202" max="8202" width="16.875" style="73" customWidth="1"/>
    <col min="8203" max="8203" width="13.25" style="73" customWidth="1"/>
    <col min="8204" max="8204" width="18.375" style="73" bestFit="1" customWidth="1"/>
    <col min="8205" max="8205" width="15" style="73" bestFit="1" customWidth="1"/>
    <col min="8206" max="8206" width="14.75" style="73" bestFit="1" customWidth="1"/>
    <col min="8207" max="8207" width="14.625" style="73" bestFit="1" customWidth="1"/>
    <col min="8208" max="8208" width="13.75" style="73" bestFit="1" customWidth="1"/>
    <col min="8209" max="8209" width="14.25" style="73" bestFit="1" customWidth="1"/>
    <col min="8210" max="8210" width="15.125" style="73" customWidth="1"/>
    <col min="8211" max="8211" width="20.5" style="73" bestFit="1" customWidth="1"/>
    <col min="8212" max="8212" width="27.875" style="73" bestFit="1" customWidth="1"/>
    <col min="8213" max="8213" width="6.875" style="73" bestFit="1" customWidth="1"/>
    <col min="8214" max="8214" width="5" style="73" bestFit="1" customWidth="1"/>
    <col min="8215" max="8215" width="8" style="73" bestFit="1" customWidth="1"/>
    <col min="8216" max="8216" width="11.875" style="73" bestFit="1" customWidth="1"/>
    <col min="8217" max="8445" width="9" style="73"/>
    <col min="8446" max="8446" width="3.875" style="73" bestFit="1" customWidth="1"/>
    <col min="8447" max="8447" width="16" style="73" bestFit="1" customWidth="1"/>
    <col min="8448" max="8448" width="16.625" style="73" bestFit="1" customWidth="1"/>
    <col min="8449" max="8449" width="13.5" style="73" bestFit="1" customWidth="1"/>
    <col min="8450" max="8451" width="10.875" style="73" bestFit="1" customWidth="1"/>
    <col min="8452" max="8452" width="6.25" style="73" bestFit="1" customWidth="1"/>
    <col min="8453" max="8453" width="8.875" style="73" bestFit="1" customWidth="1"/>
    <col min="8454" max="8454" width="13.875" style="73" bestFit="1" customWidth="1"/>
    <col min="8455" max="8455" width="13.25" style="73" bestFit="1" customWidth="1"/>
    <col min="8456" max="8456" width="16" style="73" bestFit="1" customWidth="1"/>
    <col min="8457" max="8457" width="11.625" style="73" bestFit="1" customWidth="1"/>
    <col min="8458" max="8458" width="16.875" style="73" customWidth="1"/>
    <col min="8459" max="8459" width="13.25" style="73" customWidth="1"/>
    <col min="8460" max="8460" width="18.375" style="73" bestFit="1" customWidth="1"/>
    <col min="8461" max="8461" width="15" style="73" bestFit="1" customWidth="1"/>
    <col min="8462" max="8462" width="14.75" style="73" bestFit="1" customWidth="1"/>
    <col min="8463" max="8463" width="14.625" style="73" bestFit="1" customWidth="1"/>
    <col min="8464" max="8464" width="13.75" style="73" bestFit="1" customWidth="1"/>
    <col min="8465" max="8465" width="14.25" style="73" bestFit="1" customWidth="1"/>
    <col min="8466" max="8466" width="15.125" style="73" customWidth="1"/>
    <col min="8467" max="8467" width="20.5" style="73" bestFit="1" customWidth="1"/>
    <col min="8468" max="8468" width="27.875" style="73" bestFit="1" customWidth="1"/>
    <col min="8469" max="8469" width="6.875" style="73" bestFit="1" customWidth="1"/>
    <col min="8470" max="8470" width="5" style="73" bestFit="1" customWidth="1"/>
    <col min="8471" max="8471" width="8" style="73" bestFit="1" customWidth="1"/>
    <col min="8472" max="8472" width="11.875" style="73" bestFit="1" customWidth="1"/>
    <col min="8473" max="8701" width="9" style="73"/>
    <col min="8702" max="8702" width="3.875" style="73" bestFit="1" customWidth="1"/>
    <col min="8703" max="8703" width="16" style="73" bestFit="1" customWidth="1"/>
    <col min="8704" max="8704" width="16.625" style="73" bestFit="1" customWidth="1"/>
    <col min="8705" max="8705" width="13.5" style="73" bestFit="1" customWidth="1"/>
    <col min="8706" max="8707" width="10.875" style="73" bestFit="1" customWidth="1"/>
    <col min="8708" max="8708" width="6.25" style="73" bestFit="1" customWidth="1"/>
    <col min="8709" max="8709" width="8.875" style="73" bestFit="1" customWidth="1"/>
    <col min="8710" max="8710" width="13.875" style="73" bestFit="1" customWidth="1"/>
    <col min="8711" max="8711" width="13.25" style="73" bestFit="1" customWidth="1"/>
    <col min="8712" max="8712" width="16" style="73" bestFit="1" customWidth="1"/>
    <col min="8713" max="8713" width="11.625" style="73" bestFit="1" customWidth="1"/>
    <col min="8714" max="8714" width="16.875" style="73" customWidth="1"/>
    <col min="8715" max="8715" width="13.25" style="73" customWidth="1"/>
    <col min="8716" max="8716" width="18.375" style="73" bestFit="1" customWidth="1"/>
    <col min="8717" max="8717" width="15" style="73" bestFit="1" customWidth="1"/>
    <col min="8718" max="8718" width="14.75" style="73" bestFit="1" customWidth="1"/>
    <col min="8719" max="8719" width="14.625" style="73" bestFit="1" customWidth="1"/>
    <col min="8720" max="8720" width="13.75" style="73" bestFit="1" customWidth="1"/>
    <col min="8721" max="8721" width="14.25" style="73" bestFit="1" customWidth="1"/>
    <col min="8722" max="8722" width="15.125" style="73" customWidth="1"/>
    <col min="8723" max="8723" width="20.5" style="73" bestFit="1" customWidth="1"/>
    <col min="8724" max="8724" width="27.875" style="73" bestFit="1" customWidth="1"/>
    <col min="8725" max="8725" width="6.875" style="73" bestFit="1" customWidth="1"/>
    <col min="8726" max="8726" width="5" style="73" bestFit="1" customWidth="1"/>
    <col min="8727" max="8727" width="8" style="73" bestFit="1" customWidth="1"/>
    <col min="8728" max="8728" width="11.875" style="73" bestFit="1" customWidth="1"/>
    <col min="8729" max="8957" width="9" style="73"/>
    <col min="8958" max="8958" width="3.875" style="73" bestFit="1" customWidth="1"/>
    <col min="8959" max="8959" width="16" style="73" bestFit="1" customWidth="1"/>
    <col min="8960" max="8960" width="16.625" style="73" bestFit="1" customWidth="1"/>
    <col min="8961" max="8961" width="13.5" style="73" bestFit="1" customWidth="1"/>
    <col min="8962" max="8963" width="10.875" style="73" bestFit="1" customWidth="1"/>
    <col min="8964" max="8964" width="6.25" style="73" bestFit="1" customWidth="1"/>
    <col min="8965" max="8965" width="8.875" style="73" bestFit="1" customWidth="1"/>
    <col min="8966" max="8966" width="13.875" style="73" bestFit="1" customWidth="1"/>
    <col min="8967" max="8967" width="13.25" style="73" bestFit="1" customWidth="1"/>
    <col min="8968" max="8968" width="16" style="73" bestFit="1" customWidth="1"/>
    <col min="8969" max="8969" width="11.625" style="73" bestFit="1" customWidth="1"/>
    <col min="8970" max="8970" width="16.875" style="73" customWidth="1"/>
    <col min="8971" max="8971" width="13.25" style="73" customWidth="1"/>
    <col min="8972" max="8972" width="18.375" style="73" bestFit="1" customWidth="1"/>
    <col min="8973" max="8973" width="15" style="73" bestFit="1" customWidth="1"/>
    <col min="8974" max="8974" width="14.75" style="73" bestFit="1" customWidth="1"/>
    <col min="8975" max="8975" width="14.625" style="73" bestFit="1" customWidth="1"/>
    <col min="8976" max="8976" width="13.75" style="73" bestFit="1" customWidth="1"/>
    <col min="8977" max="8977" width="14.25" style="73" bestFit="1" customWidth="1"/>
    <col min="8978" max="8978" width="15.125" style="73" customWidth="1"/>
    <col min="8979" max="8979" width="20.5" style="73" bestFit="1" customWidth="1"/>
    <col min="8980" max="8980" width="27.875" style="73" bestFit="1" customWidth="1"/>
    <col min="8981" max="8981" width="6.875" style="73" bestFit="1" customWidth="1"/>
    <col min="8982" max="8982" width="5" style="73" bestFit="1" customWidth="1"/>
    <col min="8983" max="8983" width="8" style="73" bestFit="1" customWidth="1"/>
    <col min="8984" max="8984" width="11.875" style="73" bestFit="1" customWidth="1"/>
    <col min="8985" max="9213" width="9" style="73"/>
    <col min="9214" max="9214" width="3.875" style="73" bestFit="1" customWidth="1"/>
    <col min="9215" max="9215" width="16" style="73" bestFit="1" customWidth="1"/>
    <col min="9216" max="9216" width="16.625" style="73" bestFit="1" customWidth="1"/>
    <col min="9217" max="9217" width="13.5" style="73" bestFit="1" customWidth="1"/>
    <col min="9218" max="9219" width="10.875" style="73" bestFit="1" customWidth="1"/>
    <col min="9220" max="9220" width="6.25" style="73" bestFit="1" customWidth="1"/>
    <col min="9221" max="9221" width="8.875" style="73" bestFit="1" customWidth="1"/>
    <col min="9222" max="9222" width="13.875" style="73" bestFit="1" customWidth="1"/>
    <col min="9223" max="9223" width="13.25" style="73" bestFit="1" customWidth="1"/>
    <col min="9224" max="9224" width="16" style="73" bestFit="1" customWidth="1"/>
    <col min="9225" max="9225" width="11.625" style="73" bestFit="1" customWidth="1"/>
    <col min="9226" max="9226" width="16.875" style="73" customWidth="1"/>
    <col min="9227" max="9227" width="13.25" style="73" customWidth="1"/>
    <col min="9228" max="9228" width="18.375" style="73" bestFit="1" customWidth="1"/>
    <col min="9229" max="9229" width="15" style="73" bestFit="1" customWidth="1"/>
    <col min="9230" max="9230" width="14.75" style="73" bestFit="1" customWidth="1"/>
    <col min="9231" max="9231" width="14.625" style="73" bestFit="1" customWidth="1"/>
    <col min="9232" max="9232" width="13.75" style="73" bestFit="1" customWidth="1"/>
    <col min="9233" max="9233" width="14.25" style="73" bestFit="1" customWidth="1"/>
    <col min="9234" max="9234" width="15.125" style="73" customWidth="1"/>
    <col min="9235" max="9235" width="20.5" style="73" bestFit="1" customWidth="1"/>
    <col min="9236" max="9236" width="27.875" style="73" bestFit="1" customWidth="1"/>
    <col min="9237" max="9237" width="6.875" style="73" bestFit="1" customWidth="1"/>
    <col min="9238" max="9238" width="5" style="73" bestFit="1" customWidth="1"/>
    <col min="9239" max="9239" width="8" style="73" bestFit="1" customWidth="1"/>
    <col min="9240" max="9240" width="11.875" style="73" bestFit="1" customWidth="1"/>
    <col min="9241" max="9469" width="9" style="73"/>
    <col min="9470" max="9470" width="3.875" style="73" bestFit="1" customWidth="1"/>
    <col min="9471" max="9471" width="16" style="73" bestFit="1" customWidth="1"/>
    <col min="9472" max="9472" width="16.625" style="73" bestFit="1" customWidth="1"/>
    <col min="9473" max="9473" width="13.5" style="73" bestFit="1" customWidth="1"/>
    <col min="9474" max="9475" width="10.875" style="73" bestFit="1" customWidth="1"/>
    <col min="9476" max="9476" width="6.25" style="73" bestFit="1" customWidth="1"/>
    <col min="9477" max="9477" width="8.875" style="73" bestFit="1" customWidth="1"/>
    <col min="9478" max="9478" width="13.875" style="73" bestFit="1" customWidth="1"/>
    <col min="9479" max="9479" width="13.25" style="73" bestFit="1" customWidth="1"/>
    <col min="9480" max="9480" width="16" style="73" bestFit="1" customWidth="1"/>
    <col min="9481" max="9481" width="11.625" style="73" bestFit="1" customWidth="1"/>
    <col min="9482" max="9482" width="16.875" style="73" customWidth="1"/>
    <col min="9483" max="9483" width="13.25" style="73" customWidth="1"/>
    <col min="9484" max="9484" width="18.375" style="73" bestFit="1" customWidth="1"/>
    <col min="9485" max="9485" width="15" style="73" bestFit="1" customWidth="1"/>
    <col min="9486" max="9486" width="14.75" style="73" bestFit="1" customWidth="1"/>
    <col min="9487" max="9487" width="14.625" style="73" bestFit="1" customWidth="1"/>
    <col min="9488" max="9488" width="13.75" style="73" bestFit="1" customWidth="1"/>
    <col min="9489" max="9489" width="14.25" style="73" bestFit="1" customWidth="1"/>
    <col min="9490" max="9490" width="15.125" style="73" customWidth="1"/>
    <col min="9491" max="9491" width="20.5" style="73" bestFit="1" customWidth="1"/>
    <col min="9492" max="9492" width="27.875" style="73" bestFit="1" customWidth="1"/>
    <col min="9493" max="9493" width="6.875" style="73" bestFit="1" customWidth="1"/>
    <col min="9494" max="9494" width="5" style="73" bestFit="1" customWidth="1"/>
    <col min="9495" max="9495" width="8" style="73" bestFit="1" customWidth="1"/>
    <col min="9496" max="9496" width="11.875" style="73" bestFit="1" customWidth="1"/>
    <col min="9497" max="9725" width="9" style="73"/>
    <col min="9726" max="9726" width="3.875" style="73" bestFit="1" customWidth="1"/>
    <col min="9727" max="9727" width="16" style="73" bestFit="1" customWidth="1"/>
    <col min="9728" max="9728" width="16.625" style="73" bestFit="1" customWidth="1"/>
    <col min="9729" max="9729" width="13.5" style="73" bestFit="1" customWidth="1"/>
    <col min="9730" max="9731" width="10.875" style="73" bestFit="1" customWidth="1"/>
    <col min="9732" max="9732" width="6.25" style="73" bestFit="1" customWidth="1"/>
    <col min="9733" max="9733" width="8.875" style="73" bestFit="1" customWidth="1"/>
    <col min="9734" max="9734" width="13.875" style="73" bestFit="1" customWidth="1"/>
    <col min="9735" max="9735" width="13.25" style="73" bestFit="1" customWidth="1"/>
    <col min="9736" max="9736" width="16" style="73" bestFit="1" customWidth="1"/>
    <col min="9737" max="9737" width="11.625" style="73" bestFit="1" customWidth="1"/>
    <col min="9738" max="9738" width="16.875" style="73" customWidth="1"/>
    <col min="9739" max="9739" width="13.25" style="73" customWidth="1"/>
    <col min="9740" max="9740" width="18.375" style="73" bestFit="1" customWidth="1"/>
    <col min="9741" max="9741" width="15" style="73" bestFit="1" customWidth="1"/>
    <col min="9742" max="9742" width="14.75" style="73" bestFit="1" customWidth="1"/>
    <col min="9743" max="9743" width="14.625" style="73" bestFit="1" customWidth="1"/>
    <col min="9744" max="9744" width="13.75" style="73" bestFit="1" customWidth="1"/>
    <col min="9745" max="9745" width="14.25" style="73" bestFit="1" customWidth="1"/>
    <col min="9746" max="9746" width="15.125" style="73" customWidth="1"/>
    <col min="9747" max="9747" width="20.5" style="73" bestFit="1" customWidth="1"/>
    <col min="9748" max="9748" width="27.875" style="73" bestFit="1" customWidth="1"/>
    <col min="9749" max="9749" width="6.875" style="73" bestFit="1" customWidth="1"/>
    <col min="9750" max="9750" width="5" style="73" bestFit="1" customWidth="1"/>
    <col min="9751" max="9751" width="8" style="73" bestFit="1" customWidth="1"/>
    <col min="9752" max="9752" width="11.875" style="73" bestFit="1" customWidth="1"/>
    <col min="9753" max="9981" width="9" style="73"/>
    <col min="9982" max="9982" width="3.875" style="73" bestFit="1" customWidth="1"/>
    <col min="9983" max="9983" width="16" style="73" bestFit="1" customWidth="1"/>
    <col min="9984" max="9984" width="16.625" style="73" bestFit="1" customWidth="1"/>
    <col min="9985" max="9985" width="13.5" style="73" bestFit="1" customWidth="1"/>
    <col min="9986" max="9987" width="10.875" style="73" bestFit="1" customWidth="1"/>
    <col min="9988" max="9988" width="6.25" style="73" bestFit="1" customWidth="1"/>
    <col min="9989" max="9989" width="8.875" style="73" bestFit="1" customWidth="1"/>
    <col min="9990" max="9990" width="13.875" style="73" bestFit="1" customWidth="1"/>
    <col min="9991" max="9991" width="13.25" style="73" bestFit="1" customWidth="1"/>
    <col min="9992" max="9992" width="16" style="73" bestFit="1" customWidth="1"/>
    <col min="9993" max="9993" width="11.625" style="73" bestFit="1" customWidth="1"/>
    <col min="9994" max="9994" width="16.875" style="73" customWidth="1"/>
    <col min="9995" max="9995" width="13.25" style="73" customWidth="1"/>
    <col min="9996" max="9996" width="18.375" style="73" bestFit="1" customWidth="1"/>
    <col min="9997" max="9997" width="15" style="73" bestFit="1" customWidth="1"/>
    <col min="9998" max="9998" width="14.75" style="73" bestFit="1" customWidth="1"/>
    <col min="9999" max="9999" width="14.625" style="73" bestFit="1" customWidth="1"/>
    <col min="10000" max="10000" width="13.75" style="73" bestFit="1" customWidth="1"/>
    <col min="10001" max="10001" width="14.25" style="73" bestFit="1" customWidth="1"/>
    <col min="10002" max="10002" width="15.125" style="73" customWidth="1"/>
    <col min="10003" max="10003" width="20.5" style="73" bestFit="1" customWidth="1"/>
    <col min="10004" max="10004" width="27.875" style="73" bestFit="1" customWidth="1"/>
    <col min="10005" max="10005" width="6.875" style="73" bestFit="1" customWidth="1"/>
    <col min="10006" max="10006" width="5" style="73" bestFit="1" customWidth="1"/>
    <col min="10007" max="10007" width="8" style="73" bestFit="1" customWidth="1"/>
    <col min="10008" max="10008" width="11.875" style="73" bestFit="1" customWidth="1"/>
    <col min="10009" max="10237" width="9" style="73"/>
    <col min="10238" max="10238" width="3.875" style="73" bestFit="1" customWidth="1"/>
    <col min="10239" max="10239" width="16" style="73" bestFit="1" customWidth="1"/>
    <col min="10240" max="10240" width="16.625" style="73" bestFit="1" customWidth="1"/>
    <col min="10241" max="10241" width="13.5" style="73" bestFit="1" customWidth="1"/>
    <col min="10242" max="10243" width="10.875" style="73" bestFit="1" customWidth="1"/>
    <col min="10244" max="10244" width="6.25" style="73" bestFit="1" customWidth="1"/>
    <col min="10245" max="10245" width="8.875" style="73" bestFit="1" customWidth="1"/>
    <col min="10246" max="10246" width="13.875" style="73" bestFit="1" customWidth="1"/>
    <col min="10247" max="10247" width="13.25" style="73" bestFit="1" customWidth="1"/>
    <col min="10248" max="10248" width="16" style="73" bestFit="1" customWidth="1"/>
    <col min="10249" max="10249" width="11.625" style="73" bestFit="1" customWidth="1"/>
    <col min="10250" max="10250" width="16.875" style="73" customWidth="1"/>
    <col min="10251" max="10251" width="13.25" style="73" customWidth="1"/>
    <col min="10252" max="10252" width="18.375" style="73" bestFit="1" customWidth="1"/>
    <col min="10253" max="10253" width="15" style="73" bestFit="1" customWidth="1"/>
    <col min="10254" max="10254" width="14.75" style="73" bestFit="1" customWidth="1"/>
    <col min="10255" max="10255" width="14.625" style="73" bestFit="1" customWidth="1"/>
    <col min="10256" max="10256" width="13.75" style="73" bestFit="1" customWidth="1"/>
    <col min="10257" max="10257" width="14.25" style="73" bestFit="1" customWidth="1"/>
    <col min="10258" max="10258" width="15.125" style="73" customWidth="1"/>
    <col min="10259" max="10259" width="20.5" style="73" bestFit="1" customWidth="1"/>
    <col min="10260" max="10260" width="27.875" style="73" bestFit="1" customWidth="1"/>
    <col min="10261" max="10261" width="6.875" style="73" bestFit="1" customWidth="1"/>
    <col min="10262" max="10262" width="5" style="73" bestFit="1" customWidth="1"/>
    <col min="10263" max="10263" width="8" style="73" bestFit="1" customWidth="1"/>
    <col min="10264" max="10264" width="11.875" style="73" bestFit="1" customWidth="1"/>
    <col min="10265" max="10493" width="9" style="73"/>
    <col min="10494" max="10494" width="3.875" style="73" bestFit="1" customWidth="1"/>
    <col min="10495" max="10495" width="16" style="73" bestFit="1" customWidth="1"/>
    <col min="10496" max="10496" width="16.625" style="73" bestFit="1" customWidth="1"/>
    <col min="10497" max="10497" width="13.5" style="73" bestFit="1" customWidth="1"/>
    <col min="10498" max="10499" width="10.875" style="73" bestFit="1" customWidth="1"/>
    <col min="10500" max="10500" width="6.25" style="73" bestFit="1" customWidth="1"/>
    <col min="10501" max="10501" width="8.875" style="73" bestFit="1" customWidth="1"/>
    <col min="10502" max="10502" width="13.875" style="73" bestFit="1" customWidth="1"/>
    <col min="10503" max="10503" width="13.25" style="73" bestFit="1" customWidth="1"/>
    <col min="10504" max="10504" width="16" style="73" bestFit="1" customWidth="1"/>
    <col min="10505" max="10505" width="11.625" style="73" bestFit="1" customWidth="1"/>
    <col min="10506" max="10506" width="16.875" style="73" customWidth="1"/>
    <col min="10507" max="10507" width="13.25" style="73" customWidth="1"/>
    <col min="10508" max="10508" width="18.375" style="73" bestFit="1" customWidth="1"/>
    <col min="10509" max="10509" width="15" style="73" bestFit="1" customWidth="1"/>
    <col min="10510" max="10510" width="14.75" style="73" bestFit="1" customWidth="1"/>
    <col min="10511" max="10511" width="14.625" style="73" bestFit="1" customWidth="1"/>
    <col min="10512" max="10512" width="13.75" style="73" bestFit="1" customWidth="1"/>
    <col min="10513" max="10513" width="14.25" style="73" bestFit="1" customWidth="1"/>
    <col min="10514" max="10514" width="15.125" style="73" customWidth="1"/>
    <col min="10515" max="10515" width="20.5" style="73" bestFit="1" customWidth="1"/>
    <col min="10516" max="10516" width="27.875" style="73" bestFit="1" customWidth="1"/>
    <col min="10517" max="10517" width="6.875" style="73" bestFit="1" customWidth="1"/>
    <col min="10518" max="10518" width="5" style="73" bestFit="1" customWidth="1"/>
    <col min="10519" max="10519" width="8" style="73" bestFit="1" customWidth="1"/>
    <col min="10520" max="10520" width="11.875" style="73" bestFit="1" customWidth="1"/>
    <col min="10521" max="10749" width="9" style="73"/>
    <col min="10750" max="10750" width="3.875" style="73" bestFit="1" customWidth="1"/>
    <col min="10751" max="10751" width="16" style="73" bestFit="1" customWidth="1"/>
    <col min="10752" max="10752" width="16.625" style="73" bestFit="1" customWidth="1"/>
    <col min="10753" max="10753" width="13.5" style="73" bestFit="1" customWidth="1"/>
    <col min="10754" max="10755" width="10.875" style="73" bestFit="1" customWidth="1"/>
    <col min="10756" max="10756" width="6.25" style="73" bestFit="1" customWidth="1"/>
    <col min="10757" max="10757" width="8.875" style="73" bestFit="1" customWidth="1"/>
    <col min="10758" max="10758" width="13.875" style="73" bestFit="1" customWidth="1"/>
    <col min="10759" max="10759" width="13.25" style="73" bestFit="1" customWidth="1"/>
    <col min="10760" max="10760" width="16" style="73" bestFit="1" customWidth="1"/>
    <col min="10761" max="10761" width="11.625" style="73" bestFit="1" customWidth="1"/>
    <col min="10762" max="10762" width="16.875" style="73" customWidth="1"/>
    <col min="10763" max="10763" width="13.25" style="73" customWidth="1"/>
    <col min="10764" max="10764" width="18.375" style="73" bestFit="1" customWidth="1"/>
    <col min="10765" max="10765" width="15" style="73" bestFit="1" customWidth="1"/>
    <col min="10766" max="10766" width="14.75" style="73" bestFit="1" customWidth="1"/>
    <col min="10767" max="10767" width="14.625" style="73" bestFit="1" customWidth="1"/>
    <col min="10768" max="10768" width="13.75" style="73" bestFit="1" customWidth="1"/>
    <col min="10769" max="10769" width="14.25" style="73" bestFit="1" customWidth="1"/>
    <col min="10770" max="10770" width="15.125" style="73" customWidth="1"/>
    <col min="10771" max="10771" width="20.5" style="73" bestFit="1" customWidth="1"/>
    <col min="10772" max="10772" width="27.875" style="73" bestFit="1" customWidth="1"/>
    <col min="10773" max="10773" width="6.875" style="73" bestFit="1" customWidth="1"/>
    <col min="10774" max="10774" width="5" style="73" bestFit="1" customWidth="1"/>
    <col min="10775" max="10775" width="8" style="73" bestFit="1" customWidth="1"/>
    <col min="10776" max="10776" width="11.875" style="73" bestFit="1" customWidth="1"/>
    <col min="10777" max="11005" width="9" style="73"/>
    <col min="11006" max="11006" width="3.875" style="73" bestFit="1" customWidth="1"/>
    <col min="11007" max="11007" width="16" style="73" bestFit="1" customWidth="1"/>
    <col min="11008" max="11008" width="16.625" style="73" bestFit="1" customWidth="1"/>
    <col min="11009" max="11009" width="13.5" style="73" bestFit="1" customWidth="1"/>
    <col min="11010" max="11011" width="10.875" style="73" bestFit="1" customWidth="1"/>
    <col min="11012" max="11012" width="6.25" style="73" bestFit="1" customWidth="1"/>
    <col min="11013" max="11013" width="8.875" style="73" bestFit="1" customWidth="1"/>
    <col min="11014" max="11014" width="13.875" style="73" bestFit="1" customWidth="1"/>
    <col min="11015" max="11015" width="13.25" style="73" bestFit="1" customWidth="1"/>
    <col min="11016" max="11016" width="16" style="73" bestFit="1" customWidth="1"/>
    <col min="11017" max="11017" width="11.625" style="73" bestFit="1" customWidth="1"/>
    <col min="11018" max="11018" width="16.875" style="73" customWidth="1"/>
    <col min="11019" max="11019" width="13.25" style="73" customWidth="1"/>
    <col min="11020" max="11020" width="18.375" style="73" bestFit="1" customWidth="1"/>
    <col min="11021" max="11021" width="15" style="73" bestFit="1" customWidth="1"/>
    <col min="11022" max="11022" width="14.75" style="73" bestFit="1" customWidth="1"/>
    <col min="11023" max="11023" width="14.625" style="73" bestFit="1" customWidth="1"/>
    <col min="11024" max="11024" width="13.75" style="73" bestFit="1" customWidth="1"/>
    <col min="11025" max="11025" width="14.25" style="73" bestFit="1" customWidth="1"/>
    <col min="11026" max="11026" width="15.125" style="73" customWidth="1"/>
    <col min="11027" max="11027" width="20.5" style="73" bestFit="1" customWidth="1"/>
    <col min="11028" max="11028" width="27.875" style="73" bestFit="1" customWidth="1"/>
    <col min="11029" max="11029" width="6.875" style="73" bestFit="1" customWidth="1"/>
    <col min="11030" max="11030" width="5" style="73" bestFit="1" customWidth="1"/>
    <col min="11031" max="11031" width="8" style="73" bestFit="1" customWidth="1"/>
    <col min="11032" max="11032" width="11.875" style="73" bestFit="1" customWidth="1"/>
    <col min="11033" max="11261" width="9" style="73"/>
    <col min="11262" max="11262" width="3.875" style="73" bestFit="1" customWidth="1"/>
    <col min="11263" max="11263" width="16" style="73" bestFit="1" customWidth="1"/>
    <col min="11264" max="11264" width="16.625" style="73" bestFit="1" customWidth="1"/>
    <col min="11265" max="11265" width="13.5" style="73" bestFit="1" customWidth="1"/>
    <col min="11266" max="11267" width="10.875" style="73" bestFit="1" customWidth="1"/>
    <col min="11268" max="11268" width="6.25" style="73" bestFit="1" customWidth="1"/>
    <col min="11269" max="11269" width="8.875" style="73" bestFit="1" customWidth="1"/>
    <col min="11270" max="11270" width="13.875" style="73" bestFit="1" customWidth="1"/>
    <col min="11271" max="11271" width="13.25" style="73" bestFit="1" customWidth="1"/>
    <col min="11272" max="11272" width="16" style="73" bestFit="1" customWidth="1"/>
    <col min="11273" max="11273" width="11.625" style="73" bestFit="1" customWidth="1"/>
    <col min="11274" max="11274" width="16.875" style="73" customWidth="1"/>
    <col min="11275" max="11275" width="13.25" style="73" customWidth="1"/>
    <col min="11276" max="11276" width="18.375" style="73" bestFit="1" customWidth="1"/>
    <col min="11277" max="11277" width="15" style="73" bestFit="1" customWidth="1"/>
    <col min="11278" max="11278" width="14.75" style="73" bestFit="1" customWidth="1"/>
    <col min="11279" max="11279" width="14.625" style="73" bestFit="1" customWidth="1"/>
    <col min="11280" max="11280" width="13.75" style="73" bestFit="1" customWidth="1"/>
    <col min="11281" max="11281" width="14.25" style="73" bestFit="1" customWidth="1"/>
    <col min="11282" max="11282" width="15.125" style="73" customWidth="1"/>
    <col min="11283" max="11283" width="20.5" style="73" bestFit="1" customWidth="1"/>
    <col min="11284" max="11284" width="27.875" style="73" bestFit="1" customWidth="1"/>
    <col min="11285" max="11285" width="6.875" style="73" bestFit="1" customWidth="1"/>
    <col min="11286" max="11286" width="5" style="73" bestFit="1" customWidth="1"/>
    <col min="11287" max="11287" width="8" style="73" bestFit="1" customWidth="1"/>
    <col min="11288" max="11288" width="11.875" style="73" bestFit="1" customWidth="1"/>
    <col min="11289" max="11517" width="9" style="73"/>
    <col min="11518" max="11518" width="3.875" style="73" bestFit="1" customWidth="1"/>
    <col min="11519" max="11519" width="16" style="73" bestFit="1" customWidth="1"/>
    <col min="11520" max="11520" width="16.625" style="73" bestFit="1" customWidth="1"/>
    <col min="11521" max="11521" width="13.5" style="73" bestFit="1" customWidth="1"/>
    <col min="11522" max="11523" width="10.875" style="73" bestFit="1" customWidth="1"/>
    <col min="11524" max="11524" width="6.25" style="73" bestFit="1" customWidth="1"/>
    <col min="11525" max="11525" width="8.875" style="73" bestFit="1" customWidth="1"/>
    <col min="11526" max="11526" width="13.875" style="73" bestFit="1" customWidth="1"/>
    <col min="11527" max="11527" width="13.25" style="73" bestFit="1" customWidth="1"/>
    <col min="11528" max="11528" width="16" style="73" bestFit="1" customWidth="1"/>
    <col min="11529" max="11529" width="11.625" style="73" bestFit="1" customWidth="1"/>
    <col min="11530" max="11530" width="16.875" style="73" customWidth="1"/>
    <col min="11531" max="11531" width="13.25" style="73" customWidth="1"/>
    <col min="11532" max="11532" width="18.375" style="73" bestFit="1" customWidth="1"/>
    <col min="11533" max="11533" width="15" style="73" bestFit="1" customWidth="1"/>
    <col min="11534" max="11534" width="14.75" style="73" bestFit="1" customWidth="1"/>
    <col min="11535" max="11535" width="14.625" style="73" bestFit="1" customWidth="1"/>
    <col min="11536" max="11536" width="13.75" style="73" bestFit="1" customWidth="1"/>
    <col min="11537" max="11537" width="14.25" style="73" bestFit="1" customWidth="1"/>
    <col min="11538" max="11538" width="15.125" style="73" customWidth="1"/>
    <col min="11539" max="11539" width="20.5" style="73" bestFit="1" customWidth="1"/>
    <col min="11540" max="11540" width="27.875" style="73" bestFit="1" customWidth="1"/>
    <col min="11541" max="11541" width="6.875" style="73" bestFit="1" customWidth="1"/>
    <col min="11542" max="11542" width="5" style="73" bestFit="1" customWidth="1"/>
    <col min="11543" max="11543" width="8" style="73" bestFit="1" customWidth="1"/>
    <col min="11544" max="11544" width="11.875" style="73" bestFit="1" customWidth="1"/>
    <col min="11545" max="11773" width="9" style="73"/>
    <col min="11774" max="11774" width="3.875" style="73" bestFit="1" customWidth="1"/>
    <col min="11775" max="11775" width="16" style="73" bestFit="1" customWidth="1"/>
    <col min="11776" max="11776" width="16.625" style="73" bestFit="1" customWidth="1"/>
    <col min="11777" max="11777" width="13.5" style="73" bestFit="1" customWidth="1"/>
    <col min="11778" max="11779" width="10.875" style="73" bestFit="1" customWidth="1"/>
    <col min="11780" max="11780" width="6.25" style="73" bestFit="1" customWidth="1"/>
    <col min="11781" max="11781" width="8.875" style="73" bestFit="1" customWidth="1"/>
    <col min="11782" max="11782" width="13.875" style="73" bestFit="1" customWidth="1"/>
    <col min="11783" max="11783" width="13.25" style="73" bestFit="1" customWidth="1"/>
    <col min="11784" max="11784" width="16" style="73" bestFit="1" customWidth="1"/>
    <col min="11785" max="11785" width="11.625" style="73" bestFit="1" customWidth="1"/>
    <col min="11786" max="11786" width="16.875" style="73" customWidth="1"/>
    <col min="11787" max="11787" width="13.25" style="73" customWidth="1"/>
    <col min="11788" max="11788" width="18.375" style="73" bestFit="1" customWidth="1"/>
    <col min="11789" max="11789" width="15" style="73" bestFit="1" customWidth="1"/>
    <col min="11790" max="11790" width="14.75" style="73" bestFit="1" customWidth="1"/>
    <col min="11791" max="11791" width="14.625" style="73" bestFit="1" customWidth="1"/>
    <col min="11792" max="11792" width="13.75" style="73" bestFit="1" customWidth="1"/>
    <col min="11793" max="11793" width="14.25" style="73" bestFit="1" customWidth="1"/>
    <col min="11794" max="11794" width="15.125" style="73" customWidth="1"/>
    <col min="11795" max="11795" width="20.5" style="73" bestFit="1" customWidth="1"/>
    <col min="11796" max="11796" width="27.875" style="73" bestFit="1" customWidth="1"/>
    <col min="11797" max="11797" width="6.875" style="73" bestFit="1" customWidth="1"/>
    <col min="11798" max="11798" width="5" style="73" bestFit="1" customWidth="1"/>
    <col min="11799" max="11799" width="8" style="73" bestFit="1" customWidth="1"/>
    <col min="11800" max="11800" width="11.875" style="73" bestFit="1" customWidth="1"/>
    <col min="11801" max="12029" width="9" style="73"/>
    <col min="12030" max="12030" width="3.875" style="73" bestFit="1" customWidth="1"/>
    <col min="12031" max="12031" width="16" style="73" bestFit="1" customWidth="1"/>
    <col min="12032" max="12032" width="16.625" style="73" bestFit="1" customWidth="1"/>
    <col min="12033" max="12033" width="13.5" style="73" bestFit="1" customWidth="1"/>
    <col min="12034" max="12035" width="10.875" style="73" bestFit="1" customWidth="1"/>
    <col min="12036" max="12036" width="6.25" style="73" bestFit="1" customWidth="1"/>
    <col min="12037" max="12037" width="8.875" style="73" bestFit="1" customWidth="1"/>
    <col min="12038" max="12038" width="13.875" style="73" bestFit="1" customWidth="1"/>
    <col min="12039" max="12039" width="13.25" style="73" bestFit="1" customWidth="1"/>
    <col min="12040" max="12040" width="16" style="73" bestFit="1" customWidth="1"/>
    <col min="12041" max="12041" width="11.625" style="73" bestFit="1" customWidth="1"/>
    <col min="12042" max="12042" width="16.875" style="73" customWidth="1"/>
    <col min="12043" max="12043" width="13.25" style="73" customWidth="1"/>
    <col min="12044" max="12044" width="18.375" style="73" bestFit="1" customWidth="1"/>
    <col min="12045" max="12045" width="15" style="73" bestFit="1" customWidth="1"/>
    <col min="12046" max="12046" width="14.75" style="73" bestFit="1" customWidth="1"/>
    <col min="12047" max="12047" width="14.625" style="73" bestFit="1" customWidth="1"/>
    <col min="12048" max="12048" width="13.75" style="73" bestFit="1" customWidth="1"/>
    <col min="12049" max="12049" width="14.25" style="73" bestFit="1" customWidth="1"/>
    <col min="12050" max="12050" width="15.125" style="73" customWidth="1"/>
    <col min="12051" max="12051" width="20.5" style="73" bestFit="1" customWidth="1"/>
    <col min="12052" max="12052" width="27.875" style="73" bestFit="1" customWidth="1"/>
    <col min="12053" max="12053" width="6.875" style="73" bestFit="1" customWidth="1"/>
    <col min="12054" max="12054" width="5" style="73" bestFit="1" customWidth="1"/>
    <col min="12055" max="12055" width="8" style="73" bestFit="1" customWidth="1"/>
    <col min="12056" max="12056" width="11.875" style="73" bestFit="1" customWidth="1"/>
    <col min="12057" max="12285" width="9" style="73"/>
    <col min="12286" max="12286" width="3.875" style="73" bestFit="1" customWidth="1"/>
    <col min="12287" max="12287" width="16" style="73" bestFit="1" customWidth="1"/>
    <col min="12288" max="12288" width="16.625" style="73" bestFit="1" customWidth="1"/>
    <col min="12289" max="12289" width="13.5" style="73" bestFit="1" customWidth="1"/>
    <col min="12290" max="12291" width="10.875" style="73" bestFit="1" customWidth="1"/>
    <col min="12292" max="12292" width="6.25" style="73" bestFit="1" customWidth="1"/>
    <col min="12293" max="12293" width="8.875" style="73" bestFit="1" customWidth="1"/>
    <col min="12294" max="12294" width="13.875" style="73" bestFit="1" customWidth="1"/>
    <col min="12295" max="12295" width="13.25" style="73" bestFit="1" customWidth="1"/>
    <col min="12296" max="12296" width="16" style="73" bestFit="1" customWidth="1"/>
    <col min="12297" max="12297" width="11.625" style="73" bestFit="1" customWidth="1"/>
    <col min="12298" max="12298" width="16.875" style="73" customWidth="1"/>
    <col min="12299" max="12299" width="13.25" style="73" customWidth="1"/>
    <col min="12300" max="12300" width="18.375" style="73" bestFit="1" customWidth="1"/>
    <col min="12301" max="12301" width="15" style="73" bestFit="1" customWidth="1"/>
    <col min="12302" max="12302" width="14.75" style="73" bestFit="1" customWidth="1"/>
    <col min="12303" max="12303" width="14.625" style="73" bestFit="1" customWidth="1"/>
    <col min="12304" max="12304" width="13.75" style="73" bestFit="1" customWidth="1"/>
    <col min="12305" max="12305" width="14.25" style="73" bestFit="1" customWidth="1"/>
    <col min="12306" max="12306" width="15.125" style="73" customWidth="1"/>
    <col min="12307" max="12307" width="20.5" style="73" bestFit="1" customWidth="1"/>
    <col min="12308" max="12308" width="27.875" style="73" bestFit="1" customWidth="1"/>
    <col min="12309" max="12309" width="6.875" style="73" bestFit="1" customWidth="1"/>
    <col min="12310" max="12310" width="5" style="73" bestFit="1" customWidth="1"/>
    <col min="12311" max="12311" width="8" style="73" bestFit="1" customWidth="1"/>
    <col min="12312" max="12312" width="11.875" style="73" bestFit="1" customWidth="1"/>
    <col min="12313" max="12541" width="9" style="73"/>
    <col min="12542" max="12542" width="3.875" style="73" bestFit="1" customWidth="1"/>
    <col min="12543" max="12543" width="16" style="73" bestFit="1" customWidth="1"/>
    <col min="12544" max="12544" width="16.625" style="73" bestFit="1" customWidth="1"/>
    <col min="12545" max="12545" width="13.5" style="73" bestFit="1" customWidth="1"/>
    <col min="12546" max="12547" width="10.875" style="73" bestFit="1" customWidth="1"/>
    <col min="12548" max="12548" width="6.25" style="73" bestFit="1" customWidth="1"/>
    <col min="12549" max="12549" width="8.875" style="73" bestFit="1" customWidth="1"/>
    <col min="12550" max="12550" width="13.875" style="73" bestFit="1" customWidth="1"/>
    <col min="12551" max="12551" width="13.25" style="73" bestFit="1" customWidth="1"/>
    <col min="12552" max="12552" width="16" style="73" bestFit="1" customWidth="1"/>
    <col min="12553" max="12553" width="11.625" style="73" bestFit="1" customWidth="1"/>
    <col min="12554" max="12554" width="16.875" style="73" customWidth="1"/>
    <col min="12555" max="12555" width="13.25" style="73" customWidth="1"/>
    <col min="12556" max="12556" width="18.375" style="73" bestFit="1" customWidth="1"/>
    <col min="12557" max="12557" width="15" style="73" bestFit="1" customWidth="1"/>
    <col min="12558" max="12558" width="14.75" style="73" bestFit="1" customWidth="1"/>
    <col min="12559" max="12559" width="14.625" style="73" bestFit="1" customWidth="1"/>
    <col min="12560" max="12560" width="13.75" style="73" bestFit="1" customWidth="1"/>
    <col min="12561" max="12561" width="14.25" style="73" bestFit="1" customWidth="1"/>
    <col min="12562" max="12562" width="15.125" style="73" customWidth="1"/>
    <col min="12563" max="12563" width="20.5" style="73" bestFit="1" customWidth="1"/>
    <col min="12564" max="12564" width="27.875" style="73" bestFit="1" customWidth="1"/>
    <col min="12565" max="12565" width="6.875" style="73" bestFit="1" customWidth="1"/>
    <col min="12566" max="12566" width="5" style="73" bestFit="1" customWidth="1"/>
    <col min="12567" max="12567" width="8" style="73" bestFit="1" customWidth="1"/>
    <col min="12568" max="12568" width="11.875" style="73" bestFit="1" customWidth="1"/>
    <col min="12569" max="12797" width="9" style="73"/>
    <col min="12798" max="12798" width="3.875" style="73" bestFit="1" customWidth="1"/>
    <col min="12799" max="12799" width="16" style="73" bestFit="1" customWidth="1"/>
    <col min="12800" max="12800" width="16.625" style="73" bestFit="1" customWidth="1"/>
    <col min="12801" max="12801" width="13.5" style="73" bestFit="1" customWidth="1"/>
    <col min="12802" max="12803" width="10.875" style="73" bestFit="1" customWidth="1"/>
    <col min="12804" max="12804" width="6.25" style="73" bestFit="1" customWidth="1"/>
    <col min="12805" max="12805" width="8.875" style="73" bestFit="1" customWidth="1"/>
    <col min="12806" max="12806" width="13.875" style="73" bestFit="1" customWidth="1"/>
    <col min="12807" max="12807" width="13.25" style="73" bestFit="1" customWidth="1"/>
    <col min="12808" max="12808" width="16" style="73" bestFit="1" customWidth="1"/>
    <col min="12809" max="12809" width="11.625" style="73" bestFit="1" customWidth="1"/>
    <col min="12810" max="12810" width="16.875" style="73" customWidth="1"/>
    <col min="12811" max="12811" width="13.25" style="73" customWidth="1"/>
    <col min="12812" max="12812" width="18.375" style="73" bestFit="1" customWidth="1"/>
    <col min="12813" max="12813" width="15" style="73" bestFit="1" customWidth="1"/>
    <col min="12814" max="12814" width="14.75" style="73" bestFit="1" customWidth="1"/>
    <col min="12815" max="12815" width="14.625" style="73" bestFit="1" customWidth="1"/>
    <col min="12816" max="12816" width="13.75" style="73" bestFit="1" customWidth="1"/>
    <col min="12817" max="12817" width="14.25" style="73" bestFit="1" customWidth="1"/>
    <col min="12818" max="12818" width="15.125" style="73" customWidth="1"/>
    <col min="12819" max="12819" width="20.5" style="73" bestFit="1" customWidth="1"/>
    <col min="12820" max="12820" width="27.875" style="73" bestFit="1" customWidth="1"/>
    <col min="12821" max="12821" width="6.875" style="73" bestFit="1" customWidth="1"/>
    <col min="12822" max="12822" width="5" style="73" bestFit="1" customWidth="1"/>
    <col min="12823" max="12823" width="8" style="73" bestFit="1" customWidth="1"/>
    <col min="12824" max="12824" width="11.875" style="73" bestFit="1" customWidth="1"/>
    <col min="12825" max="13053" width="9" style="73"/>
    <col min="13054" max="13054" width="3.875" style="73" bestFit="1" customWidth="1"/>
    <col min="13055" max="13055" width="16" style="73" bestFit="1" customWidth="1"/>
    <col min="13056" max="13056" width="16.625" style="73" bestFit="1" customWidth="1"/>
    <col min="13057" max="13057" width="13.5" style="73" bestFit="1" customWidth="1"/>
    <col min="13058" max="13059" width="10.875" style="73" bestFit="1" customWidth="1"/>
    <col min="13060" max="13060" width="6.25" style="73" bestFit="1" customWidth="1"/>
    <col min="13061" max="13061" width="8.875" style="73" bestFit="1" customWidth="1"/>
    <col min="13062" max="13062" width="13.875" style="73" bestFit="1" customWidth="1"/>
    <col min="13063" max="13063" width="13.25" style="73" bestFit="1" customWidth="1"/>
    <col min="13064" max="13064" width="16" style="73" bestFit="1" customWidth="1"/>
    <col min="13065" max="13065" width="11.625" style="73" bestFit="1" customWidth="1"/>
    <col min="13066" max="13066" width="16.875" style="73" customWidth="1"/>
    <col min="13067" max="13067" width="13.25" style="73" customWidth="1"/>
    <col min="13068" max="13068" width="18.375" style="73" bestFit="1" customWidth="1"/>
    <col min="13069" max="13069" width="15" style="73" bestFit="1" customWidth="1"/>
    <col min="13070" max="13070" width="14.75" style="73" bestFit="1" customWidth="1"/>
    <col min="13071" max="13071" width="14.625" style="73" bestFit="1" customWidth="1"/>
    <col min="13072" max="13072" width="13.75" style="73" bestFit="1" customWidth="1"/>
    <col min="13073" max="13073" width="14.25" style="73" bestFit="1" customWidth="1"/>
    <col min="13074" max="13074" width="15.125" style="73" customWidth="1"/>
    <col min="13075" max="13075" width="20.5" style="73" bestFit="1" customWidth="1"/>
    <col min="13076" max="13076" width="27.875" style="73" bestFit="1" customWidth="1"/>
    <col min="13077" max="13077" width="6.875" style="73" bestFit="1" customWidth="1"/>
    <col min="13078" max="13078" width="5" style="73" bestFit="1" customWidth="1"/>
    <col min="13079" max="13079" width="8" style="73" bestFit="1" customWidth="1"/>
    <col min="13080" max="13080" width="11.875" style="73" bestFit="1" customWidth="1"/>
    <col min="13081" max="13309" width="9" style="73"/>
    <col min="13310" max="13310" width="3.875" style="73" bestFit="1" customWidth="1"/>
    <col min="13311" max="13311" width="16" style="73" bestFit="1" customWidth="1"/>
    <col min="13312" max="13312" width="16.625" style="73" bestFit="1" customWidth="1"/>
    <col min="13313" max="13313" width="13.5" style="73" bestFit="1" customWidth="1"/>
    <col min="13314" max="13315" width="10.875" style="73" bestFit="1" customWidth="1"/>
    <col min="13316" max="13316" width="6.25" style="73" bestFit="1" customWidth="1"/>
    <col min="13317" max="13317" width="8.875" style="73" bestFit="1" customWidth="1"/>
    <col min="13318" max="13318" width="13.875" style="73" bestFit="1" customWidth="1"/>
    <col min="13319" max="13319" width="13.25" style="73" bestFit="1" customWidth="1"/>
    <col min="13320" max="13320" width="16" style="73" bestFit="1" customWidth="1"/>
    <col min="13321" max="13321" width="11.625" style="73" bestFit="1" customWidth="1"/>
    <col min="13322" max="13322" width="16.875" style="73" customWidth="1"/>
    <col min="13323" max="13323" width="13.25" style="73" customWidth="1"/>
    <col min="13324" max="13324" width="18.375" style="73" bestFit="1" customWidth="1"/>
    <col min="13325" max="13325" width="15" style="73" bestFit="1" customWidth="1"/>
    <col min="13326" max="13326" width="14.75" style="73" bestFit="1" customWidth="1"/>
    <col min="13327" max="13327" width="14.625" style="73" bestFit="1" customWidth="1"/>
    <col min="13328" max="13328" width="13.75" style="73" bestFit="1" customWidth="1"/>
    <col min="13329" max="13329" width="14.25" style="73" bestFit="1" customWidth="1"/>
    <col min="13330" max="13330" width="15.125" style="73" customWidth="1"/>
    <col min="13331" max="13331" width="20.5" style="73" bestFit="1" customWidth="1"/>
    <col min="13332" max="13332" width="27.875" style="73" bestFit="1" customWidth="1"/>
    <col min="13333" max="13333" width="6.875" style="73" bestFit="1" customWidth="1"/>
    <col min="13334" max="13334" width="5" style="73" bestFit="1" customWidth="1"/>
    <col min="13335" max="13335" width="8" style="73" bestFit="1" customWidth="1"/>
    <col min="13336" max="13336" width="11.875" style="73" bestFit="1" customWidth="1"/>
    <col min="13337" max="13565" width="9" style="73"/>
    <col min="13566" max="13566" width="3.875" style="73" bestFit="1" customWidth="1"/>
    <col min="13567" max="13567" width="16" style="73" bestFit="1" customWidth="1"/>
    <col min="13568" max="13568" width="16.625" style="73" bestFit="1" customWidth="1"/>
    <col min="13569" max="13569" width="13.5" style="73" bestFit="1" customWidth="1"/>
    <col min="13570" max="13571" width="10.875" style="73" bestFit="1" customWidth="1"/>
    <col min="13572" max="13572" width="6.25" style="73" bestFit="1" customWidth="1"/>
    <col min="13573" max="13573" width="8.875" style="73" bestFit="1" customWidth="1"/>
    <col min="13574" max="13574" width="13.875" style="73" bestFit="1" customWidth="1"/>
    <col min="13575" max="13575" width="13.25" style="73" bestFit="1" customWidth="1"/>
    <col min="13576" max="13576" width="16" style="73" bestFit="1" customWidth="1"/>
    <col min="13577" max="13577" width="11.625" style="73" bestFit="1" customWidth="1"/>
    <col min="13578" max="13578" width="16.875" style="73" customWidth="1"/>
    <col min="13579" max="13579" width="13.25" style="73" customWidth="1"/>
    <col min="13580" max="13580" width="18.375" style="73" bestFit="1" customWidth="1"/>
    <col min="13581" max="13581" width="15" style="73" bestFit="1" customWidth="1"/>
    <col min="13582" max="13582" width="14.75" style="73" bestFit="1" customWidth="1"/>
    <col min="13583" max="13583" width="14.625" style="73" bestFit="1" customWidth="1"/>
    <col min="13584" max="13584" width="13.75" style="73" bestFit="1" customWidth="1"/>
    <col min="13585" max="13585" width="14.25" style="73" bestFit="1" customWidth="1"/>
    <col min="13586" max="13586" width="15.125" style="73" customWidth="1"/>
    <col min="13587" max="13587" width="20.5" style="73" bestFit="1" customWidth="1"/>
    <col min="13588" max="13588" width="27.875" style="73" bestFit="1" customWidth="1"/>
    <col min="13589" max="13589" width="6.875" style="73" bestFit="1" customWidth="1"/>
    <col min="13590" max="13590" width="5" style="73" bestFit="1" customWidth="1"/>
    <col min="13591" max="13591" width="8" style="73" bestFit="1" customWidth="1"/>
    <col min="13592" max="13592" width="11.875" style="73" bestFit="1" customWidth="1"/>
    <col min="13593" max="13821" width="9" style="73"/>
    <col min="13822" max="13822" width="3.875" style="73" bestFit="1" customWidth="1"/>
    <col min="13823" max="13823" width="16" style="73" bestFit="1" customWidth="1"/>
    <col min="13824" max="13824" width="16.625" style="73" bestFit="1" customWidth="1"/>
    <col min="13825" max="13825" width="13.5" style="73" bestFit="1" customWidth="1"/>
    <col min="13826" max="13827" width="10.875" style="73" bestFit="1" customWidth="1"/>
    <col min="13828" max="13828" width="6.25" style="73" bestFit="1" customWidth="1"/>
    <col min="13829" max="13829" width="8.875" style="73" bestFit="1" customWidth="1"/>
    <col min="13830" max="13830" width="13.875" style="73" bestFit="1" customWidth="1"/>
    <col min="13831" max="13831" width="13.25" style="73" bestFit="1" customWidth="1"/>
    <col min="13832" max="13832" width="16" style="73" bestFit="1" customWidth="1"/>
    <col min="13833" max="13833" width="11.625" style="73" bestFit="1" customWidth="1"/>
    <col min="13834" max="13834" width="16.875" style="73" customWidth="1"/>
    <col min="13835" max="13835" width="13.25" style="73" customWidth="1"/>
    <col min="13836" max="13836" width="18.375" style="73" bestFit="1" customWidth="1"/>
    <col min="13837" max="13837" width="15" style="73" bestFit="1" customWidth="1"/>
    <col min="13838" max="13838" width="14.75" style="73" bestFit="1" customWidth="1"/>
    <col min="13839" max="13839" width="14.625" style="73" bestFit="1" customWidth="1"/>
    <col min="13840" max="13840" width="13.75" style="73" bestFit="1" customWidth="1"/>
    <col min="13841" max="13841" width="14.25" style="73" bestFit="1" customWidth="1"/>
    <col min="13842" max="13842" width="15.125" style="73" customWidth="1"/>
    <col min="13843" max="13843" width="20.5" style="73" bestFit="1" customWidth="1"/>
    <col min="13844" max="13844" width="27.875" style="73" bestFit="1" customWidth="1"/>
    <col min="13845" max="13845" width="6.875" style="73" bestFit="1" customWidth="1"/>
    <col min="13846" max="13846" width="5" style="73" bestFit="1" customWidth="1"/>
    <col min="13847" max="13847" width="8" style="73" bestFit="1" customWidth="1"/>
    <col min="13848" max="13848" width="11.875" style="73" bestFit="1" customWidth="1"/>
    <col min="13849" max="14077" width="9" style="73"/>
    <col min="14078" max="14078" width="3.875" style="73" bestFit="1" customWidth="1"/>
    <col min="14079" max="14079" width="16" style="73" bestFit="1" customWidth="1"/>
    <col min="14080" max="14080" width="16.625" style="73" bestFit="1" customWidth="1"/>
    <col min="14081" max="14081" width="13.5" style="73" bestFit="1" customWidth="1"/>
    <col min="14082" max="14083" width="10.875" style="73" bestFit="1" customWidth="1"/>
    <col min="14084" max="14084" width="6.25" style="73" bestFit="1" customWidth="1"/>
    <col min="14085" max="14085" width="8.875" style="73" bestFit="1" customWidth="1"/>
    <col min="14086" max="14086" width="13.875" style="73" bestFit="1" customWidth="1"/>
    <col min="14087" max="14087" width="13.25" style="73" bestFit="1" customWidth="1"/>
    <col min="14088" max="14088" width="16" style="73" bestFit="1" customWidth="1"/>
    <col min="14089" max="14089" width="11.625" style="73" bestFit="1" customWidth="1"/>
    <col min="14090" max="14090" width="16.875" style="73" customWidth="1"/>
    <col min="14091" max="14091" width="13.25" style="73" customWidth="1"/>
    <col min="14092" max="14092" width="18.375" style="73" bestFit="1" customWidth="1"/>
    <col min="14093" max="14093" width="15" style="73" bestFit="1" customWidth="1"/>
    <col min="14094" max="14094" width="14.75" style="73" bestFit="1" customWidth="1"/>
    <col min="14095" max="14095" width="14.625" style="73" bestFit="1" customWidth="1"/>
    <col min="14096" max="14096" width="13.75" style="73" bestFit="1" customWidth="1"/>
    <col min="14097" max="14097" width="14.25" style="73" bestFit="1" customWidth="1"/>
    <col min="14098" max="14098" width="15.125" style="73" customWidth="1"/>
    <col min="14099" max="14099" width="20.5" style="73" bestFit="1" customWidth="1"/>
    <col min="14100" max="14100" width="27.875" style="73" bestFit="1" customWidth="1"/>
    <col min="14101" max="14101" width="6.875" style="73" bestFit="1" customWidth="1"/>
    <col min="14102" max="14102" width="5" style="73" bestFit="1" customWidth="1"/>
    <col min="14103" max="14103" width="8" style="73" bestFit="1" customWidth="1"/>
    <col min="14104" max="14104" width="11.875" style="73" bestFit="1" customWidth="1"/>
    <col min="14105" max="14333" width="9" style="73"/>
    <col min="14334" max="14334" width="3.875" style="73" bestFit="1" customWidth="1"/>
    <col min="14335" max="14335" width="16" style="73" bestFit="1" customWidth="1"/>
    <col min="14336" max="14336" width="16.625" style="73" bestFit="1" customWidth="1"/>
    <col min="14337" max="14337" width="13.5" style="73" bestFit="1" customWidth="1"/>
    <col min="14338" max="14339" width="10.875" style="73" bestFit="1" customWidth="1"/>
    <col min="14340" max="14340" width="6.25" style="73" bestFit="1" customWidth="1"/>
    <col min="14341" max="14341" width="8.875" style="73" bestFit="1" customWidth="1"/>
    <col min="14342" max="14342" width="13.875" style="73" bestFit="1" customWidth="1"/>
    <col min="14343" max="14343" width="13.25" style="73" bestFit="1" customWidth="1"/>
    <col min="14344" max="14344" width="16" style="73" bestFit="1" customWidth="1"/>
    <col min="14345" max="14345" width="11.625" style="73" bestFit="1" customWidth="1"/>
    <col min="14346" max="14346" width="16.875" style="73" customWidth="1"/>
    <col min="14347" max="14347" width="13.25" style="73" customWidth="1"/>
    <col min="14348" max="14348" width="18.375" style="73" bestFit="1" customWidth="1"/>
    <col min="14349" max="14349" width="15" style="73" bestFit="1" customWidth="1"/>
    <col min="14350" max="14350" width="14.75" style="73" bestFit="1" customWidth="1"/>
    <col min="14351" max="14351" width="14.625" style="73" bestFit="1" customWidth="1"/>
    <col min="14352" max="14352" width="13.75" style="73" bestFit="1" customWidth="1"/>
    <col min="14353" max="14353" width="14.25" style="73" bestFit="1" customWidth="1"/>
    <col min="14354" max="14354" width="15.125" style="73" customWidth="1"/>
    <col min="14355" max="14355" width="20.5" style="73" bestFit="1" customWidth="1"/>
    <col min="14356" max="14356" width="27.875" style="73" bestFit="1" customWidth="1"/>
    <col min="14357" max="14357" width="6.875" style="73" bestFit="1" customWidth="1"/>
    <col min="14358" max="14358" width="5" style="73" bestFit="1" customWidth="1"/>
    <col min="14359" max="14359" width="8" style="73" bestFit="1" customWidth="1"/>
    <col min="14360" max="14360" width="11.875" style="73" bestFit="1" customWidth="1"/>
    <col min="14361" max="14589" width="9" style="73"/>
    <col min="14590" max="14590" width="3.875" style="73" bestFit="1" customWidth="1"/>
    <col min="14591" max="14591" width="16" style="73" bestFit="1" customWidth="1"/>
    <col min="14592" max="14592" width="16.625" style="73" bestFit="1" customWidth="1"/>
    <col min="14593" max="14593" width="13.5" style="73" bestFit="1" customWidth="1"/>
    <col min="14594" max="14595" width="10.875" style="73" bestFit="1" customWidth="1"/>
    <col min="14596" max="14596" width="6.25" style="73" bestFit="1" customWidth="1"/>
    <col min="14597" max="14597" width="8.875" style="73" bestFit="1" customWidth="1"/>
    <col min="14598" max="14598" width="13.875" style="73" bestFit="1" customWidth="1"/>
    <col min="14599" max="14599" width="13.25" style="73" bestFit="1" customWidth="1"/>
    <col min="14600" max="14600" width="16" style="73" bestFit="1" customWidth="1"/>
    <col min="14601" max="14601" width="11.625" style="73" bestFit="1" customWidth="1"/>
    <col min="14602" max="14602" width="16.875" style="73" customWidth="1"/>
    <col min="14603" max="14603" width="13.25" style="73" customWidth="1"/>
    <col min="14604" max="14604" width="18.375" style="73" bestFit="1" customWidth="1"/>
    <col min="14605" max="14605" width="15" style="73" bestFit="1" customWidth="1"/>
    <col min="14606" max="14606" width="14.75" style="73" bestFit="1" customWidth="1"/>
    <col min="14607" max="14607" width="14.625" style="73" bestFit="1" customWidth="1"/>
    <col min="14608" max="14608" width="13.75" style="73" bestFit="1" customWidth="1"/>
    <col min="14609" max="14609" width="14.25" style="73" bestFit="1" customWidth="1"/>
    <col min="14610" max="14610" width="15.125" style="73" customWidth="1"/>
    <col min="14611" max="14611" width="20.5" style="73" bestFit="1" customWidth="1"/>
    <col min="14612" max="14612" width="27.875" style="73" bestFit="1" customWidth="1"/>
    <col min="14613" max="14613" width="6.875" style="73" bestFit="1" customWidth="1"/>
    <col min="14614" max="14614" width="5" style="73" bestFit="1" customWidth="1"/>
    <col min="14615" max="14615" width="8" style="73" bestFit="1" customWidth="1"/>
    <col min="14616" max="14616" width="11.875" style="73" bestFit="1" customWidth="1"/>
    <col min="14617" max="14845" width="9" style="73"/>
    <col min="14846" max="14846" width="3.875" style="73" bestFit="1" customWidth="1"/>
    <col min="14847" max="14847" width="16" style="73" bestFit="1" customWidth="1"/>
    <col min="14848" max="14848" width="16.625" style="73" bestFit="1" customWidth="1"/>
    <col min="14849" max="14849" width="13.5" style="73" bestFit="1" customWidth="1"/>
    <col min="14850" max="14851" width="10.875" style="73" bestFit="1" customWidth="1"/>
    <col min="14852" max="14852" width="6.25" style="73" bestFit="1" customWidth="1"/>
    <col min="14853" max="14853" width="8.875" style="73" bestFit="1" customWidth="1"/>
    <col min="14854" max="14854" width="13.875" style="73" bestFit="1" customWidth="1"/>
    <col min="14855" max="14855" width="13.25" style="73" bestFit="1" customWidth="1"/>
    <col min="14856" max="14856" width="16" style="73" bestFit="1" customWidth="1"/>
    <col min="14857" max="14857" width="11.625" style="73" bestFit="1" customWidth="1"/>
    <col min="14858" max="14858" width="16.875" style="73" customWidth="1"/>
    <col min="14859" max="14859" width="13.25" style="73" customWidth="1"/>
    <col min="14860" max="14860" width="18.375" style="73" bestFit="1" customWidth="1"/>
    <col min="14861" max="14861" width="15" style="73" bestFit="1" customWidth="1"/>
    <col min="14862" max="14862" width="14.75" style="73" bestFit="1" customWidth="1"/>
    <col min="14863" max="14863" width="14.625" style="73" bestFit="1" customWidth="1"/>
    <col min="14864" max="14864" width="13.75" style="73" bestFit="1" customWidth="1"/>
    <col min="14865" max="14865" width="14.25" style="73" bestFit="1" customWidth="1"/>
    <col min="14866" max="14866" width="15.125" style="73" customWidth="1"/>
    <col min="14867" max="14867" width="20.5" style="73" bestFit="1" customWidth="1"/>
    <col min="14868" max="14868" width="27.875" style="73" bestFit="1" customWidth="1"/>
    <col min="14869" max="14869" width="6.875" style="73" bestFit="1" customWidth="1"/>
    <col min="14870" max="14870" width="5" style="73" bestFit="1" customWidth="1"/>
    <col min="14871" max="14871" width="8" style="73" bestFit="1" customWidth="1"/>
    <col min="14872" max="14872" width="11.875" style="73" bestFit="1" customWidth="1"/>
    <col min="14873" max="15101" width="9" style="73"/>
    <col min="15102" max="15102" width="3.875" style="73" bestFit="1" customWidth="1"/>
    <col min="15103" max="15103" width="16" style="73" bestFit="1" customWidth="1"/>
    <col min="15104" max="15104" width="16.625" style="73" bestFit="1" customWidth="1"/>
    <col min="15105" max="15105" width="13.5" style="73" bestFit="1" customWidth="1"/>
    <col min="15106" max="15107" width="10.875" style="73" bestFit="1" customWidth="1"/>
    <col min="15108" max="15108" width="6.25" style="73" bestFit="1" customWidth="1"/>
    <col min="15109" max="15109" width="8.875" style="73" bestFit="1" customWidth="1"/>
    <col min="15110" max="15110" width="13.875" style="73" bestFit="1" customWidth="1"/>
    <col min="15111" max="15111" width="13.25" style="73" bestFit="1" customWidth="1"/>
    <col min="15112" max="15112" width="16" style="73" bestFit="1" customWidth="1"/>
    <col min="15113" max="15113" width="11.625" style="73" bestFit="1" customWidth="1"/>
    <col min="15114" max="15114" width="16.875" style="73" customWidth="1"/>
    <col min="15115" max="15115" width="13.25" style="73" customWidth="1"/>
    <col min="15116" max="15116" width="18.375" style="73" bestFit="1" customWidth="1"/>
    <col min="15117" max="15117" width="15" style="73" bestFit="1" customWidth="1"/>
    <col min="15118" max="15118" width="14.75" style="73" bestFit="1" customWidth="1"/>
    <col min="15119" max="15119" width="14.625" style="73" bestFit="1" customWidth="1"/>
    <col min="15120" max="15120" width="13.75" style="73" bestFit="1" customWidth="1"/>
    <col min="15121" max="15121" width="14.25" style="73" bestFit="1" customWidth="1"/>
    <col min="15122" max="15122" width="15.125" style="73" customWidth="1"/>
    <col min="15123" max="15123" width="20.5" style="73" bestFit="1" customWidth="1"/>
    <col min="15124" max="15124" width="27.875" style="73" bestFit="1" customWidth="1"/>
    <col min="15125" max="15125" width="6.875" style="73" bestFit="1" customWidth="1"/>
    <col min="15126" max="15126" width="5" style="73" bestFit="1" customWidth="1"/>
    <col min="15127" max="15127" width="8" style="73" bestFit="1" customWidth="1"/>
    <col min="15128" max="15128" width="11.875" style="73" bestFit="1" customWidth="1"/>
    <col min="15129" max="15357" width="9" style="73"/>
    <col min="15358" max="15358" width="3.875" style="73" bestFit="1" customWidth="1"/>
    <col min="15359" max="15359" width="16" style="73" bestFit="1" customWidth="1"/>
    <col min="15360" max="15360" width="16.625" style="73" bestFit="1" customWidth="1"/>
    <col min="15361" max="15361" width="13.5" style="73" bestFit="1" customWidth="1"/>
    <col min="15362" max="15363" width="10.875" style="73" bestFit="1" customWidth="1"/>
    <col min="15364" max="15364" width="6.25" style="73" bestFit="1" customWidth="1"/>
    <col min="15365" max="15365" width="8.875" style="73" bestFit="1" customWidth="1"/>
    <col min="15366" max="15366" width="13.875" style="73" bestFit="1" customWidth="1"/>
    <col min="15367" max="15367" width="13.25" style="73" bestFit="1" customWidth="1"/>
    <col min="15368" max="15368" width="16" style="73" bestFit="1" customWidth="1"/>
    <col min="15369" max="15369" width="11.625" style="73" bestFit="1" customWidth="1"/>
    <col min="15370" max="15370" width="16.875" style="73" customWidth="1"/>
    <col min="15371" max="15371" width="13.25" style="73" customWidth="1"/>
    <col min="15372" max="15372" width="18.375" style="73" bestFit="1" customWidth="1"/>
    <col min="15373" max="15373" width="15" style="73" bestFit="1" customWidth="1"/>
    <col min="15374" max="15374" width="14.75" style="73" bestFit="1" customWidth="1"/>
    <col min="15375" max="15375" width="14.625" style="73" bestFit="1" customWidth="1"/>
    <col min="15376" max="15376" width="13.75" style="73" bestFit="1" customWidth="1"/>
    <col min="15377" max="15377" width="14.25" style="73" bestFit="1" customWidth="1"/>
    <col min="15378" max="15378" width="15.125" style="73" customWidth="1"/>
    <col min="15379" max="15379" width="20.5" style="73" bestFit="1" customWidth="1"/>
    <col min="15380" max="15380" width="27.875" style="73" bestFit="1" customWidth="1"/>
    <col min="15381" max="15381" width="6.875" style="73" bestFit="1" customWidth="1"/>
    <col min="15382" max="15382" width="5" style="73" bestFit="1" customWidth="1"/>
    <col min="15383" max="15383" width="8" style="73" bestFit="1" customWidth="1"/>
    <col min="15384" max="15384" width="11.875" style="73" bestFit="1" customWidth="1"/>
    <col min="15385" max="15613" width="9" style="73"/>
    <col min="15614" max="15614" width="3.875" style="73" bestFit="1" customWidth="1"/>
    <col min="15615" max="15615" width="16" style="73" bestFit="1" customWidth="1"/>
    <col min="15616" max="15616" width="16.625" style="73" bestFit="1" customWidth="1"/>
    <col min="15617" max="15617" width="13.5" style="73" bestFit="1" customWidth="1"/>
    <col min="15618" max="15619" width="10.875" style="73" bestFit="1" customWidth="1"/>
    <col min="15620" max="15620" width="6.25" style="73" bestFit="1" customWidth="1"/>
    <col min="15621" max="15621" width="8.875" style="73" bestFit="1" customWidth="1"/>
    <col min="15622" max="15622" width="13.875" style="73" bestFit="1" customWidth="1"/>
    <col min="15623" max="15623" width="13.25" style="73" bestFit="1" customWidth="1"/>
    <col min="15624" max="15624" width="16" style="73" bestFit="1" customWidth="1"/>
    <col min="15625" max="15625" width="11.625" style="73" bestFit="1" customWidth="1"/>
    <col min="15626" max="15626" width="16.875" style="73" customWidth="1"/>
    <col min="15627" max="15627" width="13.25" style="73" customWidth="1"/>
    <col min="15628" max="15628" width="18.375" style="73" bestFit="1" customWidth="1"/>
    <col min="15629" max="15629" width="15" style="73" bestFit="1" customWidth="1"/>
    <col min="15630" max="15630" width="14.75" style="73" bestFit="1" customWidth="1"/>
    <col min="15631" max="15631" width="14.625" style="73" bestFit="1" customWidth="1"/>
    <col min="15632" max="15632" width="13.75" style="73" bestFit="1" customWidth="1"/>
    <col min="15633" max="15633" width="14.25" style="73" bestFit="1" customWidth="1"/>
    <col min="15634" max="15634" width="15.125" style="73" customWidth="1"/>
    <col min="15635" max="15635" width="20.5" style="73" bestFit="1" customWidth="1"/>
    <col min="15636" max="15636" width="27.875" style="73" bestFit="1" customWidth="1"/>
    <col min="15637" max="15637" width="6.875" style="73" bestFit="1" customWidth="1"/>
    <col min="15638" max="15638" width="5" style="73" bestFit="1" customWidth="1"/>
    <col min="15639" max="15639" width="8" style="73" bestFit="1" customWidth="1"/>
    <col min="15640" max="15640" width="11.875" style="73" bestFit="1" customWidth="1"/>
    <col min="15641" max="15869" width="9" style="73"/>
    <col min="15870" max="15870" width="3.875" style="73" bestFit="1" customWidth="1"/>
    <col min="15871" max="15871" width="16" style="73" bestFit="1" customWidth="1"/>
    <col min="15872" max="15872" width="16.625" style="73" bestFit="1" customWidth="1"/>
    <col min="15873" max="15873" width="13.5" style="73" bestFit="1" customWidth="1"/>
    <col min="15874" max="15875" width="10.875" style="73" bestFit="1" customWidth="1"/>
    <col min="15876" max="15876" width="6.25" style="73" bestFit="1" customWidth="1"/>
    <col min="15877" max="15877" width="8.875" style="73" bestFit="1" customWidth="1"/>
    <col min="15878" max="15878" width="13.875" style="73" bestFit="1" customWidth="1"/>
    <col min="15879" max="15879" width="13.25" style="73" bestFit="1" customWidth="1"/>
    <col min="15880" max="15880" width="16" style="73" bestFit="1" customWidth="1"/>
    <col min="15881" max="15881" width="11.625" style="73" bestFit="1" customWidth="1"/>
    <col min="15882" max="15882" width="16.875" style="73" customWidth="1"/>
    <col min="15883" max="15883" width="13.25" style="73" customWidth="1"/>
    <col min="15884" max="15884" width="18.375" style="73" bestFit="1" customWidth="1"/>
    <col min="15885" max="15885" width="15" style="73" bestFit="1" customWidth="1"/>
    <col min="15886" max="15886" width="14.75" style="73" bestFit="1" customWidth="1"/>
    <col min="15887" max="15887" width="14.625" style="73" bestFit="1" customWidth="1"/>
    <col min="15888" max="15888" width="13.75" style="73" bestFit="1" customWidth="1"/>
    <col min="15889" max="15889" width="14.25" style="73" bestFit="1" customWidth="1"/>
    <col min="15890" max="15890" width="15.125" style="73" customWidth="1"/>
    <col min="15891" max="15891" width="20.5" style="73" bestFit="1" customWidth="1"/>
    <col min="15892" max="15892" width="27.875" style="73" bestFit="1" customWidth="1"/>
    <col min="15893" max="15893" width="6.875" style="73" bestFit="1" customWidth="1"/>
    <col min="15894" max="15894" width="5" style="73" bestFit="1" customWidth="1"/>
    <col min="15895" max="15895" width="8" style="73" bestFit="1" customWidth="1"/>
    <col min="15896" max="15896" width="11.875" style="73" bestFit="1" customWidth="1"/>
    <col min="15897" max="16125" width="9" style="73"/>
    <col min="16126" max="16126" width="3.875" style="73" bestFit="1" customWidth="1"/>
    <col min="16127" max="16127" width="16" style="73" bestFit="1" customWidth="1"/>
    <col min="16128" max="16128" width="16.625" style="73" bestFit="1" customWidth="1"/>
    <col min="16129" max="16129" width="13.5" style="73" bestFit="1" customWidth="1"/>
    <col min="16130" max="16131" width="10.875" style="73" bestFit="1" customWidth="1"/>
    <col min="16132" max="16132" width="6.25" style="73" bestFit="1" customWidth="1"/>
    <col min="16133" max="16133" width="8.875" style="73" bestFit="1" customWidth="1"/>
    <col min="16134" max="16134" width="13.875" style="73" bestFit="1" customWidth="1"/>
    <col min="16135" max="16135" width="13.25" style="73" bestFit="1" customWidth="1"/>
    <col min="16136" max="16136" width="16" style="73" bestFit="1" customWidth="1"/>
    <col min="16137" max="16137" width="11.625" style="73" bestFit="1" customWidth="1"/>
    <col min="16138" max="16138" width="16.875" style="73" customWidth="1"/>
    <col min="16139" max="16139" width="13.25" style="73" customWidth="1"/>
    <col min="16140" max="16140" width="18.375" style="73" bestFit="1" customWidth="1"/>
    <col min="16141" max="16141" width="15" style="73" bestFit="1" customWidth="1"/>
    <col min="16142" max="16142" width="14.75" style="73" bestFit="1" customWidth="1"/>
    <col min="16143" max="16143" width="14.625" style="73" bestFit="1" customWidth="1"/>
    <col min="16144" max="16144" width="13.75" style="73" bestFit="1" customWidth="1"/>
    <col min="16145" max="16145" width="14.25" style="73" bestFit="1" customWidth="1"/>
    <col min="16146" max="16146" width="15.125" style="73" customWidth="1"/>
    <col min="16147" max="16147" width="20.5" style="73" bestFit="1" customWidth="1"/>
    <col min="16148" max="16148" width="27.875" style="73" bestFit="1" customWidth="1"/>
    <col min="16149" max="16149" width="6.875" style="73" bestFit="1" customWidth="1"/>
    <col min="16150" max="16150" width="5" style="73" bestFit="1" customWidth="1"/>
    <col min="16151" max="16151" width="8" style="73" bestFit="1" customWidth="1"/>
    <col min="16152" max="16152" width="11.875" style="73" bestFit="1" customWidth="1"/>
    <col min="16153" max="16384" width="9" style="73"/>
  </cols>
  <sheetData>
    <row r="1" spans="1:33" ht="18.75" x14ac:dyDescent="0.25">
      <c r="P1" s="16"/>
      <c r="AD1" s="16"/>
    </row>
    <row r="2" spans="1:33" ht="18.75" x14ac:dyDescent="0.3">
      <c r="P2" s="11"/>
      <c r="AD2" s="11"/>
    </row>
    <row r="3" spans="1:33" ht="18.75" x14ac:dyDescent="0.3">
      <c r="P3" s="11"/>
      <c r="AD3" s="11"/>
    </row>
    <row r="4" spans="1:33" ht="18.75" x14ac:dyDescent="0.3">
      <c r="A4" s="1284"/>
      <c r="B4" s="1284"/>
      <c r="C4" s="1284"/>
      <c r="D4" s="1284"/>
      <c r="E4" s="1284"/>
      <c r="F4" s="1284"/>
      <c r="G4" s="1284"/>
      <c r="H4" s="1284"/>
      <c r="I4" s="1284"/>
      <c r="J4" s="10"/>
      <c r="K4" s="10"/>
      <c r="L4" s="10"/>
      <c r="M4" s="10"/>
      <c r="N4" s="10"/>
      <c r="O4" s="10"/>
      <c r="P4" s="10"/>
      <c r="AD4" s="11"/>
    </row>
    <row r="5" spans="1:33" ht="39" customHeight="1" x14ac:dyDescent="0.25">
      <c r="A5" s="1298" t="s">
        <v>620</v>
      </c>
      <c r="B5" s="1298"/>
      <c r="C5" s="1298"/>
      <c r="D5" s="1298"/>
      <c r="E5" s="1298"/>
      <c r="F5" s="1298"/>
      <c r="G5" s="1298"/>
      <c r="H5" s="1298"/>
      <c r="I5" s="1298"/>
      <c r="J5" s="75"/>
      <c r="K5" s="75"/>
      <c r="L5" s="75"/>
      <c r="M5" s="75"/>
      <c r="N5" s="75"/>
      <c r="O5" s="75"/>
      <c r="P5" s="75"/>
      <c r="Q5" s="74"/>
      <c r="R5" s="74"/>
      <c r="S5" s="74"/>
      <c r="T5" s="74"/>
      <c r="U5" s="74"/>
      <c r="V5" s="74"/>
      <c r="W5" s="74"/>
      <c r="X5" s="74"/>
      <c r="Y5" s="74"/>
      <c r="Z5" s="74"/>
      <c r="AA5" s="74"/>
      <c r="AB5" s="74"/>
      <c r="AC5" s="74"/>
      <c r="AD5" s="74"/>
      <c r="AE5" s="74"/>
      <c r="AF5" s="74"/>
      <c r="AG5" s="74"/>
    </row>
    <row r="6" spans="1:33" ht="22.5" customHeight="1" x14ac:dyDescent="0.25">
      <c r="A6" s="113"/>
      <c r="B6" s="113"/>
      <c r="C6" s="113"/>
      <c r="D6" s="113"/>
      <c r="E6" s="113"/>
      <c r="F6" s="113"/>
      <c r="G6" s="113"/>
      <c r="H6" s="113"/>
      <c r="I6" s="113"/>
      <c r="J6" s="75"/>
      <c r="K6" s="75"/>
      <c r="L6" s="75"/>
      <c r="M6" s="75"/>
      <c r="N6" s="75"/>
      <c r="O6" s="75"/>
      <c r="P6" s="75"/>
      <c r="Q6" s="74"/>
      <c r="R6" s="74"/>
      <c r="S6" s="74"/>
      <c r="T6" s="74"/>
      <c r="U6" s="74"/>
      <c r="V6" s="74"/>
      <c r="W6" s="74"/>
      <c r="X6" s="74"/>
      <c r="Y6" s="74"/>
      <c r="Z6" s="74"/>
      <c r="AA6" s="74"/>
      <c r="AB6" s="74"/>
      <c r="AC6" s="74"/>
      <c r="AD6" s="74"/>
      <c r="AE6" s="74"/>
      <c r="AF6" s="74"/>
      <c r="AG6" s="74"/>
    </row>
    <row r="7" spans="1:33" ht="15.75" x14ac:dyDescent="0.25">
      <c r="A7" s="1281" t="s">
        <v>810</v>
      </c>
      <c r="B7" s="1281"/>
      <c r="C7" s="1281"/>
      <c r="D7" s="1281"/>
      <c r="E7" s="1281"/>
      <c r="F7" s="1281"/>
      <c r="G7" s="1281"/>
      <c r="H7" s="1281"/>
      <c r="I7" s="1281"/>
      <c r="J7" s="31"/>
      <c r="K7" s="31"/>
      <c r="L7" s="31"/>
      <c r="M7" s="31"/>
      <c r="N7" s="31"/>
      <c r="O7" s="31"/>
      <c r="P7" s="31"/>
      <c r="Q7" s="68"/>
      <c r="R7" s="68"/>
      <c r="S7" s="68"/>
      <c r="T7" s="68"/>
      <c r="U7" s="68"/>
      <c r="V7" s="68"/>
      <c r="W7" s="68"/>
      <c r="X7" s="68"/>
      <c r="Y7" s="68"/>
      <c r="Z7" s="68"/>
      <c r="AA7" s="68"/>
      <c r="AB7" s="68"/>
      <c r="AC7" s="68"/>
      <c r="AD7" s="68"/>
      <c r="AE7" s="68"/>
      <c r="AF7" s="68"/>
      <c r="AG7" s="68"/>
    </row>
    <row r="8" spans="1:33" ht="15.75" x14ac:dyDescent="0.25">
      <c r="A8" s="1299" t="s">
        <v>313</v>
      </c>
      <c r="B8" s="1299"/>
      <c r="C8" s="1299"/>
      <c r="D8" s="1299"/>
      <c r="E8" s="1299"/>
      <c r="F8" s="1299"/>
      <c r="G8" s="1299"/>
      <c r="H8" s="1299"/>
      <c r="I8" s="1299"/>
      <c r="J8" s="66"/>
      <c r="K8" s="66"/>
      <c r="L8" s="66"/>
      <c r="M8" s="66"/>
      <c r="N8" s="66"/>
      <c r="O8" s="66"/>
      <c r="P8" s="66"/>
      <c r="Q8" s="66"/>
      <c r="R8" s="66"/>
      <c r="S8" s="66"/>
      <c r="T8" s="66"/>
      <c r="U8" s="66"/>
      <c r="V8" s="66"/>
      <c r="W8" s="66"/>
      <c r="X8" s="66"/>
      <c r="Y8" s="66"/>
      <c r="Z8" s="66"/>
      <c r="AA8" s="66"/>
      <c r="AB8" s="66"/>
      <c r="AC8" s="66"/>
      <c r="AD8" s="66"/>
      <c r="AE8" s="66"/>
      <c r="AF8" s="66"/>
      <c r="AG8" s="66"/>
    </row>
    <row r="9" spans="1:33" x14ac:dyDescent="0.25">
      <c r="A9" s="1283"/>
      <c r="B9" s="1283"/>
      <c r="C9" s="1283"/>
      <c r="D9" s="1283"/>
      <c r="E9" s="1283"/>
      <c r="F9" s="1283"/>
      <c r="G9" s="1283"/>
      <c r="H9" s="1283"/>
      <c r="I9" s="1283"/>
      <c r="J9" s="75"/>
      <c r="K9" s="75"/>
      <c r="L9" s="75"/>
      <c r="M9" s="75"/>
      <c r="N9" s="75"/>
      <c r="O9" s="75"/>
      <c r="P9" s="75"/>
      <c r="Q9" s="75"/>
      <c r="R9" s="75"/>
      <c r="S9" s="75"/>
      <c r="T9" s="75"/>
      <c r="U9" s="75"/>
      <c r="V9" s="75"/>
      <c r="W9" s="75"/>
      <c r="X9" s="75"/>
      <c r="Y9" s="75"/>
      <c r="Z9" s="75"/>
      <c r="AA9" s="75"/>
      <c r="AB9" s="75"/>
      <c r="AC9" s="75"/>
      <c r="AD9" s="75"/>
      <c r="AE9" s="75"/>
      <c r="AF9" s="75"/>
      <c r="AG9" s="75"/>
    </row>
    <row r="10" spans="1:33" ht="18" customHeight="1" x14ac:dyDescent="0.25">
      <c r="A10" s="1280" t="s">
        <v>54</v>
      </c>
      <c r="B10" s="1280"/>
      <c r="C10" s="1280"/>
      <c r="D10" s="1280"/>
      <c r="E10" s="1280"/>
      <c r="F10" s="1280"/>
      <c r="G10" s="1280"/>
      <c r="H10" s="1280"/>
      <c r="I10" s="1280"/>
      <c r="J10" s="13"/>
      <c r="K10" s="13"/>
      <c r="L10" s="13"/>
      <c r="M10" s="13"/>
      <c r="N10" s="13"/>
      <c r="O10" s="13"/>
      <c r="P10" s="13"/>
      <c r="Q10" s="10"/>
      <c r="R10" s="10"/>
      <c r="S10" s="10"/>
      <c r="T10" s="10"/>
      <c r="U10" s="10"/>
      <c r="V10" s="10"/>
      <c r="W10" s="10"/>
      <c r="X10" s="10"/>
      <c r="Y10" s="10"/>
      <c r="Z10" s="10"/>
      <c r="AA10" s="10"/>
      <c r="AB10" s="10"/>
      <c r="AC10" s="10"/>
      <c r="AD10" s="10"/>
      <c r="AE10" s="10"/>
      <c r="AF10" s="10"/>
      <c r="AG10" s="10"/>
    </row>
    <row r="11" spans="1:33" x14ac:dyDescent="0.2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1:33" ht="33" customHeight="1" x14ac:dyDescent="0.25">
      <c r="A12" s="1285" t="s">
        <v>510</v>
      </c>
      <c r="B12" s="1296" t="s">
        <v>532</v>
      </c>
      <c r="C12" s="1296" t="s">
        <v>644</v>
      </c>
      <c r="D12" s="1296"/>
      <c r="E12" s="1296"/>
      <c r="F12" s="1296" t="s">
        <v>645</v>
      </c>
      <c r="G12" s="1296" t="s">
        <v>566</v>
      </c>
      <c r="H12" s="1287" t="s">
        <v>562</v>
      </c>
      <c r="I12" s="1287" t="s">
        <v>652</v>
      </c>
    </row>
    <row r="13" spans="1:33" ht="47.25" customHeight="1" x14ac:dyDescent="0.25">
      <c r="A13" s="1285"/>
      <c r="B13" s="1296"/>
      <c r="C13" s="105" t="s">
        <v>627</v>
      </c>
      <c r="D13" s="105" t="s">
        <v>628</v>
      </c>
      <c r="E13" s="105" t="s">
        <v>629</v>
      </c>
      <c r="F13" s="1296"/>
      <c r="G13" s="1296"/>
      <c r="H13" s="1288"/>
      <c r="I13" s="1288"/>
      <c r="R13" s="9"/>
    </row>
    <row r="14" spans="1:33" ht="15.75" x14ac:dyDescent="0.25">
      <c r="A14" s="107">
        <v>1</v>
      </c>
      <c r="B14" s="101">
        <v>2</v>
      </c>
      <c r="C14" s="101">
        <v>3</v>
      </c>
      <c r="D14" s="101">
        <v>4</v>
      </c>
      <c r="E14" s="101">
        <v>5</v>
      </c>
      <c r="F14" s="101">
        <v>6</v>
      </c>
      <c r="G14" s="101">
        <v>7</v>
      </c>
      <c r="H14" s="101">
        <v>8</v>
      </c>
      <c r="I14" s="101">
        <v>9</v>
      </c>
    </row>
    <row r="15" spans="1:33" ht="31.5" x14ac:dyDescent="0.25">
      <c r="A15" s="107" t="s">
        <v>537</v>
      </c>
      <c r="B15" s="101" t="s">
        <v>567</v>
      </c>
      <c r="C15" s="105" t="s">
        <v>625</v>
      </c>
      <c r="D15" s="105" t="s">
        <v>621</v>
      </c>
      <c r="E15" s="105" t="s">
        <v>621</v>
      </c>
      <c r="F15" s="105" t="s">
        <v>621</v>
      </c>
      <c r="G15" s="105" t="s">
        <v>621</v>
      </c>
      <c r="H15" s="105" t="s">
        <v>621</v>
      </c>
      <c r="I15" s="105" t="s">
        <v>621</v>
      </c>
    </row>
    <row r="16" spans="1:33" ht="158.25" customHeight="1" x14ac:dyDescent="0.25">
      <c r="A16" s="107" t="s">
        <v>538</v>
      </c>
      <c r="B16" s="118" t="s">
        <v>650</v>
      </c>
      <c r="C16" s="101"/>
      <c r="D16" s="101"/>
      <c r="E16" s="101"/>
      <c r="F16" s="105" t="s">
        <v>624</v>
      </c>
      <c r="G16" s="105" t="s">
        <v>621</v>
      </c>
      <c r="H16" s="105" t="s">
        <v>621</v>
      </c>
      <c r="I16" s="101"/>
    </row>
    <row r="17" spans="1:9" ht="47.25" x14ac:dyDescent="0.25">
      <c r="A17" s="107" t="s">
        <v>540</v>
      </c>
      <c r="B17" s="101" t="s">
        <v>614</v>
      </c>
      <c r="C17" s="101"/>
      <c r="D17" s="101"/>
      <c r="E17" s="101"/>
      <c r="F17" s="101" t="s">
        <v>563</v>
      </c>
      <c r="G17" s="101" t="s">
        <v>559</v>
      </c>
      <c r="H17" s="101"/>
      <c r="I17" s="101" t="s">
        <v>619</v>
      </c>
    </row>
    <row r="18" spans="1:9" ht="47.25" x14ac:dyDescent="0.25">
      <c r="A18" s="107" t="s">
        <v>541</v>
      </c>
      <c r="B18" s="101" t="s">
        <v>615</v>
      </c>
      <c r="C18" s="101"/>
      <c r="D18" s="101"/>
      <c r="E18" s="101"/>
      <c r="F18" s="101" t="s">
        <v>563</v>
      </c>
      <c r="G18" s="101" t="s">
        <v>560</v>
      </c>
      <c r="H18" s="101"/>
      <c r="I18" s="101" t="s">
        <v>619</v>
      </c>
    </row>
    <row r="19" spans="1:9" ht="63" x14ac:dyDescent="0.25">
      <c r="A19" s="107" t="s">
        <v>542</v>
      </c>
      <c r="B19" s="101" t="s">
        <v>616</v>
      </c>
      <c r="C19" s="101"/>
      <c r="D19" s="101"/>
      <c r="E19" s="101"/>
      <c r="F19" s="101" t="s">
        <v>563</v>
      </c>
      <c r="G19" s="101" t="s">
        <v>561</v>
      </c>
      <c r="H19" s="101"/>
      <c r="I19" s="101" t="s">
        <v>619</v>
      </c>
    </row>
    <row r="20" spans="1:9" ht="157.5" x14ac:dyDescent="0.25">
      <c r="A20" s="107" t="s">
        <v>543</v>
      </c>
      <c r="B20" s="101" t="s">
        <v>617</v>
      </c>
      <c r="C20" s="101"/>
      <c r="D20" s="101"/>
      <c r="E20" s="101"/>
      <c r="F20" s="101" t="s">
        <v>563</v>
      </c>
      <c r="G20" s="101" t="s">
        <v>561</v>
      </c>
      <c r="H20" s="101"/>
      <c r="I20" s="105" t="s">
        <v>619</v>
      </c>
    </row>
    <row r="21" spans="1:9" ht="94.5" x14ac:dyDescent="0.25">
      <c r="A21" s="107" t="s">
        <v>584</v>
      </c>
      <c r="B21" s="101" t="s">
        <v>618</v>
      </c>
      <c r="C21" s="101"/>
      <c r="D21" s="101"/>
      <c r="E21" s="101"/>
      <c r="F21" s="101" t="s">
        <v>563</v>
      </c>
      <c r="G21" s="101" t="s">
        <v>561</v>
      </c>
      <c r="H21" s="101"/>
      <c r="I21" s="101" t="s">
        <v>619</v>
      </c>
    </row>
    <row r="22" spans="1:9" ht="160.5" x14ac:dyDescent="0.25">
      <c r="A22" s="107" t="s">
        <v>539</v>
      </c>
      <c r="B22" s="119" t="s">
        <v>674</v>
      </c>
      <c r="C22" s="101"/>
      <c r="D22" s="101"/>
      <c r="E22" s="101"/>
      <c r="F22" s="101" t="s">
        <v>563</v>
      </c>
      <c r="G22" s="105" t="s">
        <v>621</v>
      </c>
      <c r="H22" s="105" t="s">
        <v>621</v>
      </c>
      <c r="I22" s="101"/>
    </row>
    <row r="23" spans="1:9" ht="47.25" x14ac:dyDescent="0.25">
      <c r="A23" s="107" t="s">
        <v>544</v>
      </c>
      <c r="B23" s="101" t="s">
        <v>614</v>
      </c>
      <c r="C23" s="101"/>
      <c r="D23" s="101"/>
      <c r="E23" s="101"/>
      <c r="F23" s="101" t="s">
        <v>563</v>
      </c>
      <c r="G23" s="101" t="s">
        <v>559</v>
      </c>
      <c r="H23" s="101"/>
      <c r="I23" s="101" t="s">
        <v>619</v>
      </c>
    </row>
    <row r="24" spans="1:9" ht="47.25" x14ac:dyDescent="0.25">
      <c r="A24" s="107" t="s">
        <v>545</v>
      </c>
      <c r="B24" s="101" t="s">
        <v>615</v>
      </c>
      <c r="C24" s="101"/>
      <c r="D24" s="101"/>
      <c r="E24" s="101"/>
      <c r="F24" s="101" t="s">
        <v>563</v>
      </c>
      <c r="G24" s="101" t="s">
        <v>560</v>
      </c>
      <c r="H24" s="101"/>
      <c r="I24" s="101" t="s">
        <v>619</v>
      </c>
    </row>
    <row r="25" spans="1:9" ht="63" x14ac:dyDescent="0.25">
      <c r="A25" s="107" t="s">
        <v>546</v>
      </c>
      <c r="B25" s="101" t="s">
        <v>616</v>
      </c>
      <c r="C25" s="101"/>
      <c r="D25" s="101"/>
      <c r="E25" s="101"/>
      <c r="F25" s="101" t="s">
        <v>563</v>
      </c>
      <c r="G25" s="101" t="s">
        <v>561</v>
      </c>
      <c r="H25" s="101"/>
      <c r="I25" s="101" t="s">
        <v>619</v>
      </c>
    </row>
    <row r="26" spans="1:9" ht="157.5" x14ac:dyDescent="0.25">
      <c r="A26" s="107" t="s">
        <v>547</v>
      </c>
      <c r="B26" s="101" t="s">
        <v>617</v>
      </c>
      <c r="C26" s="101"/>
      <c r="D26" s="101"/>
      <c r="E26" s="101"/>
      <c r="F26" s="101" t="s">
        <v>563</v>
      </c>
      <c r="G26" s="101" t="s">
        <v>561</v>
      </c>
      <c r="H26" s="101"/>
      <c r="I26" s="101" t="s">
        <v>619</v>
      </c>
    </row>
    <row r="27" spans="1:9" ht="94.5" x14ac:dyDescent="0.25">
      <c r="A27" s="107" t="s">
        <v>607</v>
      </c>
      <c r="B27" s="101" t="s">
        <v>618</v>
      </c>
      <c r="C27" s="101"/>
      <c r="D27" s="101"/>
      <c r="E27" s="101"/>
      <c r="F27" s="101" t="s">
        <v>563</v>
      </c>
      <c r="G27" s="101" t="s">
        <v>561</v>
      </c>
      <c r="H27" s="101"/>
      <c r="I27" s="101" t="s">
        <v>619</v>
      </c>
    </row>
    <row r="28" spans="1:9" ht="31.5" x14ac:dyDescent="0.25">
      <c r="A28" s="107" t="s">
        <v>548</v>
      </c>
      <c r="B28" s="101" t="s">
        <v>567</v>
      </c>
      <c r="C28" s="104" t="s">
        <v>621</v>
      </c>
      <c r="D28" s="104" t="s">
        <v>621</v>
      </c>
      <c r="E28" s="104" t="s">
        <v>621</v>
      </c>
      <c r="F28" s="104" t="s">
        <v>621</v>
      </c>
      <c r="G28" s="104" t="s">
        <v>621</v>
      </c>
      <c r="H28" s="104" t="s">
        <v>621</v>
      </c>
      <c r="I28" s="104" t="s">
        <v>621</v>
      </c>
    </row>
    <row r="29" spans="1:9" ht="18" x14ac:dyDescent="0.25">
      <c r="A29" s="114" t="s">
        <v>632</v>
      </c>
      <c r="B29" s="104" t="s">
        <v>632</v>
      </c>
      <c r="C29" s="51"/>
      <c r="D29" s="51"/>
      <c r="E29" s="51"/>
      <c r="F29" s="51"/>
      <c r="G29" s="51"/>
      <c r="H29" s="51"/>
      <c r="I29" s="51"/>
    </row>
    <row r="31" spans="1:9" ht="18" x14ac:dyDescent="0.25">
      <c r="A31" s="109"/>
      <c r="B31" s="9" t="s">
        <v>661</v>
      </c>
    </row>
    <row r="32" spans="1:9" ht="51.75" customHeight="1" x14ac:dyDescent="0.25">
      <c r="A32" s="109"/>
      <c r="B32" s="1300" t="s">
        <v>662</v>
      </c>
      <c r="C32" s="1300"/>
      <c r="D32" s="1300"/>
      <c r="E32" s="1300"/>
      <c r="F32" s="1300"/>
      <c r="G32" s="1300"/>
      <c r="H32" s="1300"/>
      <c r="I32" s="1300"/>
    </row>
    <row r="33" spans="1:9" ht="18" x14ac:dyDescent="0.25">
      <c r="A33" s="109"/>
      <c r="B33" s="9" t="s">
        <v>660</v>
      </c>
    </row>
    <row r="34" spans="1:9" ht="18" x14ac:dyDescent="0.25">
      <c r="B34" s="9" t="s">
        <v>663</v>
      </c>
    </row>
    <row r="35" spans="1:9" ht="18" x14ac:dyDescent="0.25">
      <c r="B35" s="9" t="s">
        <v>664</v>
      </c>
    </row>
    <row r="36" spans="1:9" ht="52.5" customHeight="1" x14ac:dyDescent="0.25">
      <c r="B36" s="1300" t="s">
        <v>626</v>
      </c>
      <c r="C36" s="1300"/>
      <c r="D36" s="1300"/>
      <c r="E36" s="1300"/>
      <c r="F36" s="1300"/>
      <c r="G36" s="1300"/>
      <c r="H36" s="1300"/>
      <c r="I36" s="1300"/>
    </row>
    <row r="37" spans="1:9" ht="18" x14ac:dyDescent="0.25">
      <c r="B37" s="9" t="s">
        <v>631</v>
      </c>
    </row>
    <row r="39" spans="1:9" x14ac:dyDescent="0.25">
      <c r="B39" s="9"/>
    </row>
  </sheetData>
  <mergeCells count="15">
    <mergeCell ref="B32:I32"/>
    <mergeCell ref="B36:I36"/>
    <mergeCell ref="H12:H13"/>
    <mergeCell ref="I12:I13"/>
    <mergeCell ref="A10:I10"/>
    <mergeCell ref="A12:A13"/>
    <mergeCell ref="B12:B13"/>
    <mergeCell ref="C12:E12"/>
    <mergeCell ref="F12:F13"/>
    <mergeCell ref="G12:G13"/>
    <mergeCell ref="A4:I4"/>
    <mergeCell ref="A5:I5"/>
    <mergeCell ref="A7:I7"/>
    <mergeCell ref="A8:I8"/>
    <mergeCell ref="A9:I9"/>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H72"/>
  <sheetViews>
    <sheetView topLeftCell="A64" zoomScale="40" zoomScaleNormal="40" zoomScaleSheetLayoutView="25" workbookViewId="0">
      <selection activeCell="T72" sqref="T72"/>
    </sheetView>
  </sheetViews>
  <sheetFormatPr defaultRowHeight="20.25" x14ac:dyDescent="0.3"/>
  <cols>
    <col min="1" max="1" width="17.375" style="221" customWidth="1"/>
    <col min="2" max="2" width="66.75" style="221" customWidth="1"/>
    <col min="3" max="3" width="31.625" style="221" customWidth="1"/>
    <col min="4" max="4" width="20.5" style="221" customWidth="1"/>
    <col min="5" max="5" width="15.875" style="221" customWidth="1"/>
    <col min="6" max="7" width="16.125" style="221" customWidth="1"/>
    <col min="8" max="8" width="28.875" style="221" customWidth="1"/>
    <col min="9" max="9" width="24" style="221" customWidth="1"/>
    <col min="10" max="13" width="19.875" style="221" customWidth="1"/>
    <col min="14" max="14" width="24.5" style="221" customWidth="1"/>
    <col min="15" max="15" width="19.875" style="221" customWidth="1"/>
    <col min="16" max="16" width="47.75" style="221" customWidth="1"/>
    <col min="17" max="19" width="20.5" style="211" customWidth="1"/>
    <col min="20" max="20" width="19.75" style="210" customWidth="1"/>
    <col min="21" max="21" width="10" style="210" customWidth="1"/>
    <col min="22" max="22" width="9" style="210"/>
    <col min="23" max="23" width="17" style="210" customWidth="1"/>
    <col min="24" max="24" width="17.75" style="210" customWidth="1"/>
    <col min="25" max="25" width="8.75" style="221" customWidth="1"/>
    <col min="26" max="26" width="8.375" style="221" customWidth="1"/>
    <col min="27" max="27" width="9" style="221"/>
    <col min="28" max="28" width="14.625" style="221" customWidth="1"/>
    <col min="29" max="29" width="66.125" style="221" customWidth="1"/>
    <col min="30" max="30" width="17.125" style="221" customWidth="1"/>
    <col min="31" max="31" width="14.25" style="221" customWidth="1"/>
    <col min="32" max="16384" width="9" style="221"/>
  </cols>
  <sheetData>
    <row r="1" spans="1:34" ht="18.75" customHeight="1" x14ac:dyDescent="0.3">
      <c r="A1" s="220"/>
      <c r="N1" s="138" t="s">
        <v>355</v>
      </c>
      <c r="X1" s="221"/>
    </row>
    <row r="2" spans="1:34" ht="18.75" customHeight="1" x14ac:dyDescent="0.3">
      <c r="A2" s="220"/>
      <c r="N2" s="140" t="s">
        <v>1</v>
      </c>
      <c r="X2" s="221"/>
    </row>
    <row r="3" spans="1:34" x14ac:dyDescent="0.3">
      <c r="A3" s="222"/>
      <c r="N3" s="140" t="s">
        <v>265</v>
      </c>
      <c r="X3" s="221"/>
    </row>
    <row r="4" spans="1:34" x14ac:dyDescent="0.3">
      <c r="A4" s="1301" t="s">
        <v>401</v>
      </c>
      <c r="B4" s="1301"/>
      <c r="C4" s="1301"/>
      <c r="D4" s="1301"/>
      <c r="E4" s="1301"/>
      <c r="F4" s="1301"/>
      <c r="G4" s="1301"/>
      <c r="H4" s="1301"/>
      <c r="I4" s="1301"/>
      <c r="J4" s="1301"/>
      <c r="K4" s="1301"/>
      <c r="L4" s="1301"/>
      <c r="M4" s="1301"/>
      <c r="N4" s="1301"/>
      <c r="X4" s="221"/>
    </row>
    <row r="5" spans="1:34" x14ac:dyDescent="0.3">
      <c r="A5" s="1147"/>
      <c r="B5" s="1147"/>
      <c r="C5" s="1147"/>
      <c r="D5" s="1147"/>
      <c r="E5" s="1147"/>
      <c r="F5" s="1147"/>
      <c r="G5" s="1147"/>
      <c r="H5" s="1147"/>
      <c r="I5" s="1147"/>
      <c r="J5" s="1147"/>
      <c r="K5" s="1147"/>
      <c r="L5" s="1147"/>
      <c r="M5" s="1147"/>
      <c r="N5" s="1147"/>
      <c r="O5" s="165"/>
      <c r="P5" s="165"/>
      <c r="Q5" s="165"/>
      <c r="R5" s="165"/>
      <c r="S5" s="165"/>
      <c r="T5" s="165"/>
      <c r="U5" s="165"/>
      <c r="V5" s="165"/>
      <c r="W5" s="165"/>
      <c r="X5" s="165"/>
      <c r="Y5" s="165"/>
      <c r="Z5" s="165"/>
      <c r="AA5" s="165"/>
      <c r="AB5" s="165"/>
      <c r="AC5" s="165"/>
    </row>
    <row r="6" spans="1:34" x14ac:dyDescent="0.3">
      <c r="A6" s="1158" t="s">
        <v>810</v>
      </c>
      <c r="B6" s="1158"/>
      <c r="C6" s="1158"/>
      <c r="D6" s="1158"/>
      <c r="E6" s="1158"/>
      <c r="F6" s="1158"/>
      <c r="G6" s="1158"/>
      <c r="H6" s="1158"/>
      <c r="I6" s="1158"/>
      <c r="J6" s="1158"/>
      <c r="K6" s="1158"/>
      <c r="L6" s="1158"/>
      <c r="M6" s="1158"/>
      <c r="N6" s="1158"/>
      <c r="O6" s="149"/>
      <c r="P6" s="149"/>
      <c r="Q6" s="149"/>
      <c r="R6" s="149"/>
      <c r="S6" s="149"/>
      <c r="T6" s="149"/>
      <c r="U6" s="149"/>
      <c r="V6" s="149"/>
      <c r="W6" s="149"/>
      <c r="X6" s="149"/>
      <c r="Y6" s="149"/>
      <c r="Z6" s="149"/>
      <c r="AA6" s="149"/>
      <c r="AB6" s="149"/>
      <c r="AC6" s="149"/>
      <c r="AD6" s="149"/>
      <c r="AE6" s="149"/>
      <c r="AF6" s="149"/>
      <c r="AG6" s="149"/>
      <c r="AH6" s="149"/>
    </row>
    <row r="7" spans="1:34" x14ac:dyDescent="0.3">
      <c r="A7" s="1159" t="s">
        <v>313</v>
      </c>
      <c r="B7" s="1159"/>
      <c r="C7" s="1159"/>
      <c r="D7" s="1159"/>
      <c r="E7" s="1159"/>
      <c r="F7" s="1159"/>
      <c r="G7" s="1159"/>
      <c r="H7" s="1159"/>
      <c r="I7" s="1159"/>
      <c r="J7" s="1159"/>
      <c r="K7" s="1159"/>
      <c r="L7" s="1159"/>
      <c r="M7" s="1159"/>
      <c r="N7" s="1159"/>
      <c r="O7" s="164"/>
      <c r="P7" s="164"/>
      <c r="Q7" s="164"/>
      <c r="R7" s="164"/>
      <c r="S7" s="164"/>
      <c r="T7" s="164"/>
      <c r="U7" s="164"/>
      <c r="V7" s="164"/>
      <c r="W7" s="164"/>
      <c r="X7" s="164"/>
      <c r="Y7" s="164"/>
      <c r="Z7" s="164"/>
      <c r="AA7" s="164"/>
      <c r="AB7" s="164"/>
      <c r="AC7" s="164"/>
      <c r="AD7" s="164"/>
      <c r="AE7" s="164"/>
      <c r="AF7" s="164"/>
      <c r="AG7" s="164"/>
      <c r="AH7" s="164"/>
    </row>
    <row r="8" spans="1:34" x14ac:dyDescent="0.3">
      <c r="A8" s="1321"/>
      <c r="B8" s="1321"/>
      <c r="C8" s="1321"/>
      <c r="D8" s="1321"/>
      <c r="E8" s="1321"/>
      <c r="F8" s="1321"/>
      <c r="G8" s="1321"/>
      <c r="H8" s="1321"/>
      <c r="I8" s="1321"/>
      <c r="J8" s="1321"/>
      <c r="K8" s="1321"/>
      <c r="L8" s="1321"/>
      <c r="M8" s="1321"/>
      <c r="N8" s="1321"/>
      <c r="O8" s="222"/>
      <c r="P8" s="222"/>
      <c r="Q8" s="222"/>
      <c r="R8" s="222"/>
      <c r="S8" s="222"/>
      <c r="T8" s="222"/>
      <c r="U8" s="222"/>
      <c r="V8" s="222"/>
      <c r="W8" s="222"/>
      <c r="X8" s="222"/>
      <c r="Y8" s="222"/>
      <c r="Z8" s="222"/>
      <c r="AA8" s="222"/>
      <c r="AB8" s="222"/>
      <c r="AC8" s="222"/>
    </row>
    <row r="9" spans="1:34" s="224" customFormat="1" ht="27" customHeight="1" x14ac:dyDescent="0.3">
      <c r="A9" s="1219" t="s">
        <v>945</v>
      </c>
      <c r="B9" s="1219"/>
      <c r="C9" s="1219"/>
      <c r="D9" s="1219"/>
      <c r="E9" s="1219"/>
      <c r="F9" s="1219"/>
      <c r="G9" s="1219"/>
      <c r="H9" s="1219"/>
      <c r="I9" s="1219"/>
      <c r="J9" s="1219"/>
      <c r="K9" s="1219"/>
      <c r="L9" s="1219"/>
      <c r="M9" s="1219"/>
      <c r="N9" s="1219"/>
      <c r="O9" s="223"/>
      <c r="P9" s="223"/>
      <c r="Q9" s="223"/>
      <c r="R9" s="223"/>
      <c r="S9" s="223"/>
      <c r="T9" s="223"/>
      <c r="U9" s="223"/>
      <c r="V9" s="223"/>
      <c r="W9" s="223"/>
      <c r="X9" s="223"/>
      <c r="Y9" s="223"/>
      <c r="Z9" s="223"/>
      <c r="AA9" s="223"/>
      <c r="AB9" s="223"/>
      <c r="AC9" s="223"/>
      <c r="AD9" s="223"/>
      <c r="AE9" s="223"/>
      <c r="AF9" s="223"/>
      <c r="AG9" s="223"/>
      <c r="AH9" s="223"/>
    </row>
    <row r="10" spans="1:34" x14ac:dyDescent="0.3">
      <c r="A10" s="1302"/>
      <c r="B10" s="1302"/>
      <c r="C10" s="1302"/>
      <c r="D10" s="1302"/>
      <c r="E10" s="1302"/>
      <c r="F10" s="1302"/>
      <c r="G10" s="1302"/>
      <c r="H10" s="1302"/>
      <c r="I10" s="1302"/>
      <c r="J10" s="1302"/>
      <c r="K10" s="1302"/>
      <c r="L10" s="1302"/>
      <c r="M10" s="1302"/>
      <c r="N10" s="1302"/>
      <c r="O10" s="1302"/>
      <c r="P10" s="1302"/>
      <c r="Q10" s="1302"/>
      <c r="R10" s="1302"/>
      <c r="S10" s="1302"/>
      <c r="T10" s="1302"/>
      <c r="U10" s="1302"/>
      <c r="V10" s="1302"/>
      <c r="W10" s="1302"/>
      <c r="X10" s="1302"/>
      <c r="Y10" s="1302"/>
      <c r="Z10" s="1302"/>
      <c r="AA10" s="1302"/>
      <c r="AB10" s="1302"/>
      <c r="AC10" s="1302"/>
    </row>
    <row r="11" spans="1:34" ht="60" customHeight="1" x14ac:dyDescent="0.3">
      <c r="A11" s="1119" t="s">
        <v>179</v>
      </c>
      <c r="B11" s="1119" t="s">
        <v>31</v>
      </c>
      <c r="C11" s="1119" t="s">
        <v>32</v>
      </c>
      <c r="D11" s="1322" t="s">
        <v>95</v>
      </c>
      <c r="E11" s="1311" t="s">
        <v>139</v>
      </c>
      <c r="F11" s="1311" t="s">
        <v>134</v>
      </c>
      <c r="G11" s="1311" t="s">
        <v>328</v>
      </c>
      <c r="H11" s="1119" t="s">
        <v>77</v>
      </c>
      <c r="I11" s="1119"/>
      <c r="J11" s="1119"/>
      <c r="K11" s="1119"/>
      <c r="L11" s="1119" t="s">
        <v>76</v>
      </c>
      <c r="M11" s="1119"/>
      <c r="N11" s="1307" t="s">
        <v>48</v>
      </c>
      <c r="O11" s="1307" t="s">
        <v>47</v>
      </c>
      <c r="P11" s="1316" t="s">
        <v>655</v>
      </c>
      <c r="Q11" s="1322" t="s">
        <v>330</v>
      </c>
      <c r="R11" s="1322"/>
      <c r="S11" s="1313" t="s">
        <v>141</v>
      </c>
      <c r="T11" s="1313" t="s">
        <v>137</v>
      </c>
      <c r="U11" s="1310" t="s">
        <v>133</v>
      </c>
      <c r="V11" s="1310"/>
      <c r="W11" s="1310"/>
      <c r="X11" s="1310"/>
      <c r="Y11" s="1310"/>
      <c r="Z11" s="1310"/>
      <c r="AA11" s="1303" t="s">
        <v>331</v>
      </c>
      <c r="AB11" s="1304"/>
      <c r="AC11" s="1119" t="s">
        <v>138</v>
      </c>
      <c r="AD11" s="1119" t="s">
        <v>333</v>
      </c>
      <c r="AE11" s="1119"/>
    </row>
    <row r="12" spans="1:34" s="129" customFormat="1" ht="99.75" customHeight="1" x14ac:dyDescent="0.3">
      <c r="A12" s="1119"/>
      <c r="B12" s="1119"/>
      <c r="C12" s="1119"/>
      <c r="D12" s="1322"/>
      <c r="E12" s="1323"/>
      <c r="F12" s="1323"/>
      <c r="G12" s="1323"/>
      <c r="H12" s="1119" t="s">
        <v>129</v>
      </c>
      <c r="I12" s="1119" t="s">
        <v>130</v>
      </c>
      <c r="J12" s="1119" t="s">
        <v>131</v>
      </c>
      <c r="K12" s="1311" t="s">
        <v>132</v>
      </c>
      <c r="L12" s="1119"/>
      <c r="M12" s="1119"/>
      <c r="N12" s="1307"/>
      <c r="O12" s="1307"/>
      <c r="P12" s="1317"/>
      <c r="Q12" s="1322"/>
      <c r="R12" s="1322"/>
      <c r="S12" s="1314"/>
      <c r="T12" s="1314"/>
      <c r="U12" s="1319" t="s">
        <v>671</v>
      </c>
      <c r="V12" s="1319"/>
      <c r="W12" s="1320" t="s">
        <v>672</v>
      </c>
      <c r="X12" s="1320"/>
      <c r="Y12" s="1308" t="s">
        <v>98</v>
      </c>
      <c r="Z12" s="1309"/>
      <c r="AA12" s="1305"/>
      <c r="AB12" s="1306"/>
      <c r="AC12" s="1119"/>
      <c r="AD12" s="1119"/>
      <c r="AE12" s="1119"/>
    </row>
    <row r="13" spans="1:34" s="129" customFormat="1" ht="408.75" customHeight="1" x14ac:dyDescent="0.3">
      <c r="A13" s="1119"/>
      <c r="B13" s="1119"/>
      <c r="C13" s="1119"/>
      <c r="D13" s="1322"/>
      <c r="E13" s="1312"/>
      <c r="F13" s="1312"/>
      <c r="G13" s="1312"/>
      <c r="H13" s="1119"/>
      <c r="I13" s="1119"/>
      <c r="J13" s="1119"/>
      <c r="K13" s="1312"/>
      <c r="L13" s="214" t="s">
        <v>75</v>
      </c>
      <c r="M13" s="207" t="s">
        <v>46</v>
      </c>
      <c r="N13" s="1307"/>
      <c r="O13" s="1307"/>
      <c r="P13" s="1318"/>
      <c r="Q13" s="225" t="s">
        <v>2</v>
      </c>
      <c r="R13" s="225" t="s">
        <v>329</v>
      </c>
      <c r="S13" s="1315"/>
      <c r="T13" s="1315"/>
      <c r="U13" s="226" t="s">
        <v>36</v>
      </c>
      <c r="V13" s="226" t="s">
        <v>37</v>
      </c>
      <c r="W13" s="226" t="s">
        <v>36</v>
      </c>
      <c r="X13" s="226" t="s">
        <v>37</v>
      </c>
      <c r="Y13" s="214" t="s">
        <v>36</v>
      </c>
      <c r="Z13" s="216" t="s">
        <v>37</v>
      </c>
      <c r="AA13" s="214" t="s">
        <v>36</v>
      </c>
      <c r="AB13" s="216" t="s">
        <v>37</v>
      </c>
      <c r="AC13" s="1119"/>
      <c r="AD13" s="227" t="s">
        <v>332</v>
      </c>
      <c r="AE13" s="207" t="s">
        <v>140</v>
      </c>
    </row>
    <row r="14" spans="1:34" s="198" customFormat="1" ht="21.75" customHeight="1" x14ac:dyDescent="0.3">
      <c r="A14" s="152">
        <v>1</v>
      </c>
      <c r="B14" s="152">
        <v>2</v>
      </c>
      <c r="C14" s="152">
        <v>3</v>
      </c>
      <c r="D14" s="152">
        <v>4</v>
      </c>
      <c r="E14" s="152">
        <v>5</v>
      </c>
      <c r="F14" s="152">
        <v>6</v>
      </c>
      <c r="G14" s="152">
        <v>7</v>
      </c>
      <c r="H14" s="152">
        <v>8</v>
      </c>
      <c r="I14" s="152">
        <v>9</v>
      </c>
      <c r="J14" s="152">
        <v>10</v>
      </c>
      <c r="K14" s="152">
        <v>11</v>
      </c>
      <c r="L14" s="152">
        <v>12</v>
      </c>
      <c r="M14" s="152">
        <v>13</v>
      </c>
      <c r="N14" s="152">
        <v>14</v>
      </c>
      <c r="O14" s="152">
        <v>15</v>
      </c>
      <c r="P14" s="152">
        <v>16</v>
      </c>
      <c r="Q14" s="152">
        <v>17</v>
      </c>
      <c r="R14" s="152">
        <v>18</v>
      </c>
      <c r="S14" s="152">
        <v>19</v>
      </c>
      <c r="T14" s="152">
        <v>20</v>
      </c>
      <c r="U14" s="152">
        <v>21</v>
      </c>
      <c r="V14" s="152">
        <v>22</v>
      </c>
      <c r="W14" s="152">
        <v>23</v>
      </c>
      <c r="X14" s="152">
        <v>24</v>
      </c>
      <c r="Y14" s="152">
        <v>25</v>
      </c>
      <c r="Z14" s="152">
        <v>26</v>
      </c>
      <c r="AA14" s="152">
        <v>27</v>
      </c>
      <c r="AB14" s="152">
        <v>28</v>
      </c>
      <c r="AC14" s="152">
        <v>29</v>
      </c>
      <c r="AD14" s="152">
        <v>30</v>
      </c>
      <c r="AE14" s="152">
        <v>31</v>
      </c>
    </row>
    <row r="15" spans="1:34" s="287" customFormat="1" ht="51" x14ac:dyDescent="0.4">
      <c r="A15" s="375" t="s">
        <v>711</v>
      </c>
      <c r="B15" s="376" t="s">
        <v>684</v>
      </c>
      <c r="C15" s="299" t="s">
        <v>621</v>
      </c>
      <c r="D15" s="299" t="s">
        <v>621</v>
      </c>
      <c r="E15" s="299" t="s">
        <v>621</v>
      </c>
      <c r="F15" s="299" t="s">
        <v>621</v>
      </c>
      <c r="G15" s="299" t="s">
        <v>621</v>
      </c>
      <c r="H15" s="299" t="s">
        <v>621</v>
      </c>
      <c r="I15" s="299" t="s">
        <v>621</v>
      </c>
      <c r="J15" s="299" t="s">
        <v>621</v>
      </c>
      <c r="K15" s="299" t="s">
        <v>621</v>
      </c>
      <c r="L15" s="299" t="s">
        <v>621</v>
      </c>
      <c r="M15" s="299" t="s">
        <v>621</v>
      </c>
      <c r="N15" s="299" t="s">
        <v>621</v>
      </c>
      <c r="O15" s="299" t="s">
        <v>621</v>
      </c>
      <c r="P15" s="299" t="s">
        <v>621</v>
      </c>
      <c r="Q15" s="299" t="s">
        <v>621</v>
      </c>
      <c r="R15" s="299" t="s">
        <v>621</v>
      </c>
      <c r="S15" s="299" t="s">
        <v>621</v>
      </c>
      <c r="T15" s="299" t="s">
        <v>621</v>
      </c>
      <c r="U15" s="299" t="s">
        <v>621</v>
      </c>
      <c r="V15" s="299" t="s">
        <v>621</v>
      </c>
      <c r="W15" s="299" t="s">
        <v>621</v>
      </c>
      <c r="X15" s="299" t="s">
        <v>621</v>
      </c>
      <c r="Y15" s="299" t="s">
        <v>621</v>
      </c>
      <c r="Z15" s="299" t="s">
        <v>621</v>
      </c>
      <c r="AA15" s="299" t="s">
        <v>621</v>
      </c>
      <c r="AB15" s="299" t="s">
        <v>621</v>
      </c>
      <c r="AC15" s="299" t="s">
        <v>621</v>
      </c>
      <c r="AD15" s="299" t="s">
        <v>621</v>
      </c>
      <c r="AE15" s="299" t="s">
        <v>621</v>
      </c>
    </row>
    <row r="16" spans="1:34" s="287" customFormat="1" ht="51" x14ac:dyDescent="0.4">
      <c r="A16" s="378" t="s">
        <v>713</v>
      </c>
      <c r="B16" s="394" t="s">
        <v>686</v>
      </c>
      <c r="C16" s="348" t="s">
        <v>621</v>
      </c>
      <c r="D16" s="348" t="s">
        <v>621</v>
      </c>
      <c r="E16" s="348" t="s">
        <v>621</v>
      </c>
      <c r="F16" s="348" t="s">
        <v>621</v>
      </c>
      <c r="G16" s="348" t="s">
        <v>621</v>
      </c>
      <c r="H16" s="348" t="s">
        <v>621</v>
      </c>
      <c r="I16" s="348" t="s">
        <v>621</v>
      </c>
      <c r="J16" s="348" t="s">
        <v>621</v>
      </c>
      <c r="K16" s="348" t="s">
        <v>621</v>
      </c>
      <c r="L16" s="348" t="s">
        <v>621</v>
      </c>
      <c r="M16" s="348" t="s">
        <v>621</v>
      </c>
      <c r="N16" s="348" t="s">
        <v>621</v>
      </c>
      <c r="O16" s="348" t="s">
        <v>621</v>
      </c>
      <c r="P16" s="348" t="s">
        <v>621</v>
      </c>
      <c r="Q16" s="348" t="s">
        <v>621</v>
      </c>
      <c r="R16" s="348" t="s">
        <v>621</v>
      </c>
      <c r="S16" s="348" t="s">
        <v>621</v>
      </c>
      <c r="T16" s="348" t="s">
        <v>621</v>
      </c>
      <c r="U16" s="348" t="s">
        <v>621</v>
      </c>
      <c r="V16" s="348" t="s">
        <v>621</v>
      </c>
      <c r="W16" s="348" t="s">
        <v>621</v>
      </c>
      <c r="X16" s="348" t="s">
        <v>621</v>
      </c>
      <c r="Y16" s="348" t="s">
        <v>621</v>
      </c>
      <c r="Z16" s="348" t="s">
        <v>621</v>
      </c>
      <c r="AA16" s="348" t="s">
        <v>621</v>
      </c>
      <c r="AB16" s="348" t="s">
        <v>621</v>
      </c>
      <c r="AC16" s="348" t="s">
        <v>621</v>
      </c>
      <c r="AD16" s="348" t="s">
        <v>621</v>
      </c>
      <c r="AE16" s="348" t="s">
        <v>621</v>
      </c>
    </row>
    <row r="17" spans="1:31" s="287" customFormat="1" ht="30" x14ac:dyDescent="0.4">
      <c r="A17" s="380" t="s">
        <v>537</v>
      </c>
      <c r="B17" s="400" t="s">
        <v>691</v>
      </c>
      <c r="C17" s="348" t="s">
        <v>621</v>
      </c>
      <c r="D17" s="348" t="s">
        <v>621</v>
      </c>
      <c r="E17" s="348" t="s">
        <v>621</v>
      </c>
      <c r="F17" s="348" t="s">
        <v>621</v>
      </c>
      <c r="G17" s="348" t="s">
        <v>621</v>
      </c>
      <c r="H17" s="348" t="s">
        <v>621</v>
      </c>
      <c r="I17" s="348" t="s">
        <v>621</v>
      </c>
      <c r="J17" s="348" t="s">
        <v>621</v>
      </c>
      <c r="K17" s="348" t="s">
        <v>621</v>
      </c>
      <c r="L17" s="348" t="s">
        <v>621</v>
      </c>
      <c r="M17" s="348" t="s">
        <v>621</v>
      </c>
      <c r="N17" s="348" t="s">
        <v>621</v>
      </c>
      <c r="O17" s="348" t="s">
        <v>621</v>
      </c>
      <c r="P17" s="348" t="s">
        <v>621</v>
      </c>
      <c r="Q17" s="348" t="s">
        <v>621</v>
      </c>
      <c r="R17" s="348" t="s">
        <v>621</v>
      </c>
      <c r="S17" s="348" t="s">
        <v>621</v>
      </c>
      <c r="T17" s="348" t="s">
        <v>621</v>
      </c>
      <c r="U17" s="348" t="s">
        <v>621</v>
      </c>
      <c r="V17" s="348" t="s">
        <v>621</v>
      </c>
      <c r="W17" s="348" t="s">
        <v>621</v>
      </c>
      <c r="X17" s="348" t="s">
        <v>621</v>
      </c>
      <c r="Y17" s="348" t="s">
        <v>621</v>
      </c>
      <c r="Z17" s="348" t="s">
        <v>621</v>
      </c>
      <c r="AA17" s="348" t="s">
        <v>621</v>
      </c>
      <c r="AB17" s="348" t="s">
        <v>621</v>
      </c>
      <c r="AC17" s="348" t="s">
        <v>621</v>
      </c>
      <c r="AD17" s="348" t="s">
        <v>621</v>
      </c>
      <c r="AE17" s="348" t="s">
        <v>621</v>
      </c>
    </row>
    <row r="18" spans="1:31" s="287" customFormat="1" ht="78.75" x14ac:dyDescent="0.4">
      <c r="A18" s="574" t="s">
        <v>545</v>
      </c>
      <c r="B18" s="697" t="s">
        <v>697</v>
      </c>
      <c r="C18" s="706" t="s">
        <v>621</v>
      </c>
      <c r="D18" s="706" t="s">
        <v>621</v>
      </c>
      <c r="E18" s="706" t="s">
        <v>621</v>
      </c>
      <c r="F18" s="706" t="s">
        <v>621</v>
      </c>
      <c r="G18" s="706" t="s">
        <v>621</v>
      </c>
      <c r="H18" s="706" t="s">
        <v>621</v>
      </c>
      <c r="I18" s="706" t="s">
        <v>621</v>
      </c>
      <c r="J18" s="706" t="s">
        <v>621</v>
      </c>
      <c r="K18" s="706" t="s">
        <v>621</v>
      </c>
      <c r="L18" s="706" t="s">
        <v>621</v>
      </c>
      <c r="M18" s="706" t="s">
        <v>621</v>
      </c>
      <c r="N18" s="706" t="s">
        <v>621</v>
      </c>
      <c r="O18" s="706" t="s">
        <v>621</v>
      </c>
      <c r="P18" s="706" t="s">
        <v>621</v>
      </c>
      <c r="Q18" s="706" t="s">
        <v>621</v>
      </c>
      <c r="R18" s="706" t="s">
        <v>621</v>
      </c>
      <c r="S18" s="706" t="s">
        <v>621</v>
      </c>
      <c r="T18" s="706" t="s">
        <v>621</v>
      </c>
      <c r="U18" s="706" t="s">
        <v>621</v>
      </c>
      <c r="V18" s="706" t="s">
        <v>621</v>
      </c>
      <c r="W18" s="706" t="s">
        <v>621</v>
      </c>
      <c r="X18" s="706" t="s">
        <v>621</v>
      </c>
      <c r="Y18" s="706" t="s">
        <v>621</v>
      </c>
      <c r="Z18" s="706" t="s">
        <v>621</v>
      </c>
      <c r="AA18" s="706" t="s">
        <v>621</v>
      </c>
      <c r="AB18" s="706" t="s">
        <v>621</v>
      </c>
      <c r="AC18" s="706" t="s">
        <v>621</v>
      </c>
      <c r="AD18" s="706" t="s">
        <v>621</v>
      </c>
      <c r="AE18" s="706" t="s">
        <v>621</v>
      </c>
    </row>
    <row r="19" spans="1:31" s="287" customFormat="1" ht="52.5" x14ac:dyDescent="0.4">
      <c r="A19" s="380" t="s">
        <v>595</v>
      </c>
      <c r="B19" s="400" t="s">
        <v>746</v>
      </c>
      <c r="C19" s="348" t="s">
        <v>621</v>
      </c>
      <c r="D19" s="348" t="s">
        <v>621</v>
      </c>
      <c r="E19" s="348" t="s">
        <v>621</v>
      </c>
      <c r="F19" s="348" t="s">
        <v>621</v>
      </c>
      <c r="G19" s="348" t="s">
        <v>621</v>
      </c>
      <c r="H19" s="348" t="s">
        <v>621</v>
      </c>
      <c r="I19" s="348" t="s">
        <v>621</v>
      </c>
      <c r="J19" s="348" t="s">
        <v>621</v>
      </c>
      <c r="K19" s="348" t="s">
        <v>621</v>
      </c>
      <c r="L19" s="348" t="s">
        <v>621</v>
      </c>
      <c r="M19" s="348" t="s">
        <v>621</v>
      </c>
      <c r="N19" s="348" t="s">
        <v>621</v>
      </c>
      <c r="O19" s="348" t="s">
        <v>621</v>
      </c>
      <c r="P19" s="348" t="s">
        <v>621</v>
      </c>
      <c r="Q19" s="348" t="s">
        <v>621</v>
      </c>
      <c r="R19" s="348" t="s">
        <v>621</v>
      </c>
      <c r="S19" s="348" t="s">
        <v>621</v>
      </c>
      <c r="T19" s="348" t="s">
        <v>621</v>
      </c>
      <c r="U19" s="348" t="s">
        <v>621</v>
      </c>
      <c r="V19" s="348" t="s">
        <v>621</v>
      </c>
      <c r="W19" s="348" t="s">
        <v>621</v>
      </c>
      <c r="X19" s="348" t="s">
        <v>621</v>
      </c>
      <c r="Y19" s="348" t="s">
        <v>621</v>
      </c>
      <c r="Z19" s="348" t="s">
        <v>621</v>
      </c>
      <c r="AA19" s="348" t="s">
        <v>621</v>
      </c>
      <c r="AB19" s="348" t="s">
        <v>621</v>
      </c>
      <c r="AC19" s="348" t="s">
        <v>621</v>
      </c>
      <c r="AD19" s="348" t="s">
        <v>621</v>
      </c>
      <c r="AE19" s="348" t="s">
        <v>621</v>
      </c>
    </row>
    <row r="20" spans="1:31" s="287" customFormat="1" ht="105" x14ac:dyDescent="0.4">
      <c r="A20" s="380" t="s">
        <v>814</v>
      </c>
      <c r="B20" s="400" t="s">
        <v>815</v>
      </c>
      <c r="C20" s="348" t="s">
        <v>1044</v>
      </c>
      <c r="D20" s="348">
        <v>2020</v>
      </c>
      <c r="E20" s="348" t="s">
        <v>621</v>
      </c>
      <c r="F20" s="348" t="s">
        <v>621</v>
      </c>
      <c r="G20" s="348" t="s">
        <v>621</v>
      </c>
      <c r="H20" s="348" t="s">
        <v>621</v>
      </c>
      <c r="I20" s="348" t="s">
        <v>621</v>
      </c>
      <c r="J20" s="348" t="s">
        <v>621</v>
      </c>
      <c r="K20" s="348" t="s">
        <v>621</v>
      </c>
      <c r="L20" s="348" t="s">
        <v>832</v>
      </c>
      <c r="M20" s="348" t="s">
        <v>830</v>
      </c>
      <c r="N20" s="348" t="s">
        <v>830</v>
      </c>
      <c r="O20" s="348" t="s">
        <v>830</v>
      </c>
      <c r="P20" s="400" t="s">
        <v>834</v>
      </c>
      <c r="Q20" s="348" t="s">
        <v>621</v>
      </c>
      <c r="R20" s="348" t="s">
        <v>621</v>
      </c>
      <c r="S20" s="348" t="s">
        <v>621</v>
      </c>
      <c r="T20" s="348" t="s">
        <v>621</v>
      </c>
      <c r="U20" s="348" t="s">
        <v>621</v>
      </c>
      <c r="V20" s="348" t="s">
        <v>621</v>
      </c>
      <c r="W20" s="348" t="s">
        <v>621</v>
      </c>
      <c r="X20" s="348" t="s">
        <v>621</v>
      </c>
      <c r="Y20" s="348" t="s">
        <v>621</v>
      </c>
      <c r="Z20" s="348" t="s">
        <v>621</v>
      </c>
      <c r="AA20" s="348">
        <v>6</v>
      </c>
      <c r="AB20" s="348">
        <v>6</v>
      </c>
      <c r="AC20" s="400" t="s">
        <v>833</v>
      </c>
      <c r="AD20" s="348" t="s">
        <v>830</v>
      </c>
      <c r="AE20" s="348" t="s">
        <v>830</v>
      </c>
    </row>
    <row r="21" spans="1:31" s="287" customFormat="1" ht="105" x14ac:dyDescent="0.4">
      <c r="A21" s="380" t="s">
        <v>813</v>
      </c>
      <c r="B21" s="400" t="s">
        <v>859</v>
      </c>
      <c r="C21" s="348" t="s">
        <v>1045</v>
      </c>
      <c r="D21" s="348">
        <v>2020</v>
      </c>
      <c r="E21" s="348" t="s">
        <v>621</v>
      </c>
      <c r="F21" s="348" t="s">
        <v>621</v>
      </c>
      <c r="G21" s="348" t="s">
        <v>621</v>
      </c>
      <c r="H21" s="348" t="s">
        <v>621</v>
      </c>
      <c r="I21" s="348" t="s">
        <v>621</v>
      </c>
      <c r="J21" s="348" t="s">
        <v>621</v>
      </c>
      <c r="K21" s="348" t="s">
        <v>621</v>
      </c>
      <c r="L21" s="348" t="s">
        <v>832</v>
      </c>
      <c r="M21" s="348" t="s">
        <v>830</v>
      </c>
      <c r="N21" s="348" t="s">
        <v>830</v>
      </c>
      <c r="O21" s="348" t="s">
        <v>830</v>
      </c>
      <c r="P21" s="400" t="s">
        <v>904</v>
      </c>
      <c r="Q21" s="348" t="s">
        <v>621</v>
      </c>
      <c r="R21" s="348" t="s">
        <v>621</v>
      </c>
      <c r="S21" s="348" t="s">
        <v>621</v>
      </c>
      <c r="T21" s="348" t="s">
        <v>621</v>
      </c>
      <c r="U21" s="348" t="s">
        <v>621</v>
      </c>
      <c r="V21" s="348" t="s">
        <v>621</v>
      </c>
      <c r="W21" s="348" t="s">
        <v>621</v>
      </c>
      <c r="X21" s="348" t="s">
        <v>621</v>
      </c>
      <c r="Y21" s="348" t="s">
        <v>621</v>
      </c>
      <c r="Z21" s="348" t="s">
        <v>621</v>
      </c>
      <c r="AA21" s="348">
        <v>6</v>
      </c>
      <c r="AB21" s="348">
        <v>6</v>
      </c>
      <c r="AC21" s="400" t="s">
        <v>833</v>
      </c>
      <c r="AD21" s="348" t="s">
        <v>830</v>
      </c>
      <c r="AE21" s="348" t="s">
        <v>830</v>
      </c>
    </row>
    <row r="22" spans="1:31" s="287" customFormat="1" ht="157.5" x14ac:dyDescent="0.4">
      <c r="A22" s="380" t="s">
        <v>817</v>
      </c>
      <c r="B22" s="400" t="s">
        <v>934</v>
      </c>
      <c r="C22" s="348" t="s">
        <v>1046</v>
      </c>
      <c r="D22" s="348">
        <v>2020</v>
      </c>
      <c r="E22" s="348" t="s">
        <v>621</v>
      </c>
      <c r="F22" s="348" t="s">
        <v>621</v>
      </c>
      <c r="G22" s="348" t="s">
        <v>621</v>
      </c>
      <c r="H22" s="348" t="s">
        <v>621</v>
      </c>
      <c r="I22" s="348" t="s">
        <v>621</v>
      </c>
      <c r="J22" s="348" t="s">
        <v>621</v>
      </c>
      <c r="K22" s="348" t="s">
        <v>621</v>
      </c>
      <c r="L22" s="348" t="s">
        <v>832</v>
      </c>
      <c r="M22" s="348" t="s">
        <v>830</v>
      </c>
      <c r="N22" s="348" t="s">
        <v>830</v>
      </c>
      <c r="O22" s="348" t="s">
        <v>830</v>
      </c>
      <c r="P22" s="400" t="s">
        <v>935</v>
      </c>
      <c r="Q22" s="348" t="s">
        <v>621</v>
      </c>
      <c r="R22" s="348" t="s">
        <v>621</v>
      </c>
      <c r="S22" s="348" t="s">
        <v>621</v>
      </c>
      <c r="T22" s="348" t="s">
        <v>621</v>
      </c>
      <c r="U22" s="348" t="s">
        <v>621</v>
      </c>
      <c r="V22" s="348" t="s">
        <v>621</v>
      </c>
      <c r="W22" s="348" t="s">
        <v>621</v>
      </c>
      <c r="X22" s="348" t="s">
        <v>621</v>
      </c>
      <c r="Y22" s="348" t="s">
        <v>621</v>
      </c>
      <c r="Z22" s="348" t="s">
        <v>621</v>
      </c>
      <c r="AA22" s="348">
        <v>6</v>
      </c>
      <c r="AB22" s="348">
        <v>6</v>
      </c>
      <c r="AC22" s="400" t="s">
        <v>833</v>
      </c>
      <c r="AD22" s="348" t="s">
        <v>830</v>
      </c>
      <c r="AE22" s="348" t="s">
        <v>830</v>
      </c>
    </row>
    <row r="23" spans="1:31" s="287" customFormat="1" ht="131.25" x14ac:dyDescent="0.4">
      <c r="A23" s="380" t="s">
        <v>819</v>
      </c>
      <c r="B23" s="400" t="s">
        <v>816</v>
      </c>
      <c r="C23" s="348" t="s">
        <v>1047</v>
      </c>
      <c r="D23" s="348">
        <v>2021</v>
      </c>
      <c r="E23" s="348" t="s">
        <v>621</v>
      </c>
      <c r="F23" s="348" t="s">
        <v>621</v>
      </c>
      <c r="G23" s="348" t="s">
        <v>621</v>
      </c>
      <c r="H23" s="348" t="s">
        <v>621</v>
      </c>
      <c r="I23" s="348" t="s">
        <v>621</v>
      </c>
      <c r="J23" s="348" t="s">
        <v>621</v>
      </c>
      <c r="K23" s="348" t="s">
        <v>621</v>
      </c>
      <c r="L23" s="348" t="s">
        <v>832</v>
      </c>
      <c r="M23" s="348" t="s">
        <v>830</v>
      </c>
      <c r="N23" s="348" t="s">
        <v>830</v>
      </c>
      <c r="O23" s="348" t="s">
        <v>830</v>
      </c>
      <c r="P23" s="400" t="s">
        <v>835</v>
      </c>
      <c r="Q23" s="348" t="s">
        <v>621</v>
      </c>
      <c r="R23" s="348" t="s">
        <v>621</v>
      </c>
      <c r="S23" s="348" t="s">
        <v>621</v>
      </c>
      <c r="T23" s="348" t="s">
        <v>621</v>
      </c>
      <c r="U23" s="348" t="s">
        <v>621</v>
      </c>
      <c r="V23" s="348" t="s">
        <v>621</v>
      </c>
      <c r="W23" s="348" t="s">
        <v>621</v>
      </c>
      <c r="X23" s="348" t="s">
        <v>621</v>
      </c>
      <c r="Y23" s="348" t="s">
        <v>621</v>
      </c>
      <c r="Z23" s="348" t="s">
        <v>621</v>
      </c>
      <c r="AA23" s="348">
        <v>6</v>
      </c>
      <c r="AB23" s="348">
        <v>6</v>
      </c>
      <c r="AC23" s="400" t="s">
        <v>833</v>
      </c>
      <c r="AD23" s="348" t="s">
        <v>830</v>
      </c>
      <c r="AE23" s="348" t="s">
        <v>830</v>
      </c>
    </row>
    <row r="24" spans="1:31" s="287" customFormat="1" ht="131.25" x14ac:dyDescent="0.4">
      <c r="A24" s="380" t="s">
        <v>820</v>
      </c>
      <c r="B24" s="400" t="s">
        <v>903</v>
      </c>
      <c r="C24" s="348" t="s">
        <v>1048</v>
      </c>
      <c r="D24" s="348">
        <v>2021</v>
      </c>
      <c r="E24" s="348" t="s">
        <v>621</v>
      </c>
      <c r="F24" s="348" t="s">
        <v>621</v>
      </c>
      <c r="G24" s="348" t="s">
        <v>621</v>
      </c>
      <c r="H24" s="348" t="s">
        <v>621</v>
      </c>
      <c r="I24" s="348" t="s">
        <v>621</v>
      </c>
      <c r="J24" s="348" t="s">
        <v>621</v>
      </c>
      <c r="K24" s="348" t="s">
        <v>621</v>
      </c>
      <c r="L24" s="348" t="s">
        <v>832</v>
      </c>
      <c r="M24" s="348" t="s">
        <v>830</v>
      </c>
      <c r="N24" s="348" t="s">
        <v>830</v>
      </c>
      <c r="O24" s="348" t="s">
        <v>830</v>
      </c>
      <c r="P24" s="400" t="s">
        <v>905</v>
      </c>
      <c r="Q24" s="348" t="s">
        <v>621</v>
      </c>
      <c r="R24" s="348" t="s">
        <v>621</v>
      </c>
      <c r="S24" s="348" t="s">
        <v>621</v>
      </c>
      <c r="T24" s="348" t="s">
        <v>621</v>
      </c>
      <c r="U24" s="348" t="s">
        <v>621</v>
      </c>
      <c r="V24" s="348" t="s">
        <v>621</v>
      </c>
      <c r="W24" s="348" t="s">
        <v>621</v>
      </c>
      <c r="X24" s="348" t="s">
        <v>621</v>
      </c>
      <c r="Y24" s="348" t="s">
        <v>621</v>
      </c>
      <c r="Z24" s="348" t="s">
        <v>621</v>
      </c>
      <c r="AA24" s="348">
        <v>6</v>
      </c>
      <c r="AB24" s="348">
        <v>6</v>
      </c>
      <c r="AC24" s="400" t="s">
        <v>833</v>
      </c>
      <c r="AD24" s="348" t="s">
        <v>830</v>
      </c>
      <c r="AE24" s="348" t="s">
        <v>830</v>
      </c>
    </row>
    <row r="25" spans="1:31" s="287" customFormat="1" ht="105" x14ac:dyDescent="0.4">
      <c r="A25" s="380" t="s">
        <v>863</v>
      </c>
      <c r="B25" s="400" t="s">
        <v>915</v>
      </c>
      <c r="C25" s="348" t="s">
        <v>1049</v>
      </c>
      <c r="D25" s="348">
        <v>2021</v>
      </c>
      <c r="E25" s="348" t="s">
        <v>621</v>
      </c>
      <c r="F25" s="348" t="s">
        <v>621</v>
      </c>
      <c r="G25" s="348" t="s">
        <v>621</v>
      </c>
      <c r="H25" s="348" t="s">
        <v>621</v>
      </c>
      <c r="I25" s="348" t="s">
        <v>621</v>
      </c>
      <c r="J25" s="348" t="s">
        <v>621</v>
      </c>
      <c r="K25" s="348" t="s">
        <v>621</v>
      </c>
      <c r="L25" s="348" t="s">
        <v>832</v>
      </c>
      <c r="M25" s="348" t="s">
        <v>830</v>
      </c>
      <c r="N25" s="348" t="s">
        <v>830</v>
      </c>
      <c r="O25" s="348" t="s">
        <v>830</v>
      </c>
      <c r="P25" s="400" t="s">
        <v>906</v>
      </c>
      <c r="Q25" s="348" t="s">
        <v>621</v>
      </c>
      <c r="R25" s="348" t="s">
        <v>621</v>
      </c>
      <c r="S25" s="348" t="s">
        <v>621</v>
      </c>
      <c r="T25" s="348" t="s">
        <v>621</v>
      </c>
      <c r="U25" s="348" t="s">
        <v>621</v>
      </c>
      <c r="V25" s="348" t="s">
        <v>621</v>
      </c>
      <c r="W25" s="348" t="s">
        <v>621</v>
      </c>
      <c r="X25" s="348" t="s">
        <v>621</v>
      </c>
      <c r="Y25" s="348" t="s">
        <v>621</v>
      </c>
      <c r="Z25" s="348" t="s">
        <v>621</v>
      </c>
      <c r="AA25" s="348">
        <v>6</v>
      </c>
      <c r="AB25" s="348">
        <v>6</v>
      </c>
      <c r="AC25" s="400" t="s">
        <v>833</v>
      </c>
      <c r="AD25" s="348" t="s">
        <v>830</v>
      </c>
      <c r="AE25" s="348" t="s">
        <v>830</v>
      </c>
    </row>
    <row r="26" spans="1:31" s="287" customFormat="1" ht="105" x14ac:dyDescent="0.4">
      <c r="A26" s="380" t="s">
        <v>864</v>
      </c>
      <c r="B26" s="400" t="s">
        <v>818</v>
      </c>
      <c r="C26" s="348" t="s">
        <v>1050</v>
      </c>
      <c r="D26" s="348">
        <v>2022</v>
      </c>
      <c r="E26" s="348" t="s">
        <v>621</v>
      </c>
      <c r="F26" s="348" t="s">
        <v>621</v>
      </c>
      <c r="G26" s="348" t="s">
        <v>621</v>
      </c>
      <c r="H26" s="348" t="s">
        <v>621</v>
      </c>
      <c r="I26" s="348" t="s">
        <v>621</v>
      </c>
      <c r="J26" s="348" t="s">
        <v>621</v>
      </c>
      <c r="K26" s="348" t="s">
        <v>621</v>
      </c>
      <c r="L26" s="348" t="s">
        <v>832</v>
      </c>
      <c r="M26" s="348" t="s">
        <v>830</v>
      </c>
      <c r="N26" s="348" t="s">
        <v>830</v>
      </c>
      <c r="O26" s="348" t="s">
        <v>830</v>
      </c>
      <c r="P26" s="400" t="s">
        <v>836</v>
      </c>
      <c r="Q26" s="348" t="s">
        <v>621</v>
      </c>
      <c r="R26" s="348" t="s">
        <v>621</v>
      </c>
      <c r="S26" s="348" t="s">
        <v>621</v>
      </c>
      <c r="T26" s="348" t="s">
        <v>621</v>
      </c>
      <c r="U26" s="348" t="s">
        <v>621</v>
      </c>
      <c r="V26" s="348" t="s">
        <v>621</v>
      </c>
      <c r="W26" s="348" t="s">
        <v>621</v>
      </c>
      <c r="X26" s="348" t="s">
        <v>621</v>
      </c>
      <c r="Y26" s="348" t="s">
        <v>621</v>
      </c>
      <c r="Z26" s="348" t="s">
        <v>621</v>
      </c>
      <c r="AA26" s="348">
        <v>6</v>
      </c>
      <c r="AB26" s="348">
        <v>6</v>
      </c>
      <c r="AC26" s="400" t="s">
        <v>833</v>
      </c>
      <c r="AD26" s="348" t="s">
        <v>830</v>
      </c>
      <c r="AE26" s="348" t="s">
        <v>830</v>
      </c>
    </row>
    <row r="27" spans="1:31" s="287" customFormat="1" ht="123.75" customHeight="1" x14ac:dyDescent="0.4">
      <c r="A27" s="380" t="s">
        <v>868</v>
      </c>
      <c r="B27" s="400" t="s">
        <v>870</v>
      </c>
      <c r="C27" s="348" t="s">
        <v>1051</v>
      </c>
      <c r="D27" s="348">
        <v>2022</v>
      </c>
      <c r="E27" s="348" t="s">
        <v>621</v>
      </c>
      <c r="F27" s="348" t="s">
        <v>621</v>
      </c>
      <c r="G27" s="348" t="s">
        <v>621</v>
      </c>
      <c r="H27" s="348" t="s">
        <v>621</v>
      </c>
      <c r="I27" s="348" t="s">
        <v>621</v>
      </c>
      <c r="J27" s="348" t="s">
        <v>621</v>
      </c>
      <c r="K27" s="348" t="s">
        <v>621</v>
      </c>
      <c r="L27" s="348" t="s">
        <v>832</v>
      </c>
      <c r="M27" s="348" t="s">
        <v>830</v>
      </c>
      <c r="N27" s="348" t="s">
        <v>830</v>
      </c>
      <c r="O27" s="348" t="s">
        <v>830</v>
      </c>
      <c r="P27" s="400" t="s">
        <v>907</v>
      </c>
      <c r="Q27" s="348" t="s">
        <v>621</v>
      </c>
      <c r="R27" s="348" t="s">
        <v>621</v>
      </c>
      <c r="S27" s="348" t="s">
        <v>621</v>
      </c>
      <c r="T27" s="348" t="s">
        <v>621</v>
      </c>
      <c r="U27" s="348" t="s">
        <v>621</v>
      </c>
      <c r="V27" s="348" t="s">
        <v>621</v>
      </c>
      <c r="W27" s="348" t="s">
        <v>621</v>
      </c>
      <c r="X27" s="348" t="s">
        <v>621</v>
      </c>
      <c r="Y27" s="348" t="s">
        <v>621</v>
      </c>
      <c r="Z27" s="348" t="s">
        <v>621</v>
      </c>
      <c r="AA27" s="348">
        <v>6</v>
      </c>
      <c r="AB27" s="348">
        <v>6</v>
      </c>
      <c r="AC27" s="400" t="s">
        <v>833</v>
      </c>
      <c r="AD27" s="348" t="s">
        <v>830</v>
      </c>
      <c r="AE27" s="348" t="s">
        <v>830</v>
      </c>
    </row>
    <row r="28" spans="1:31" s="287" customFormat="1" ht="307.5" customHeight="1" x14ac:dyDescent="0.4">
      <c r="A28" s="380" t="s">
        <v>869</v>
      </c>
      <c r="B28" s="400" t="s">
        <v>876</v>
      </c>
      <c r="C28" s="348" t="s">
        <v>1052</v>
      </c>
      <c r="D28" s="348">
        <v>2023</v>
      </c>
      <c r="E28" s="348" t="s">
        <v>621</v>
      </c>
      <c r="F28" s="348" t="s">
        <v>621</v>
      </c>
      <c r="G28" s="348" t="s">
        <v>621</v>
      </c>
      <c r="H28" s="348" t="s">
        <v>621</v>
      </c>
      <c r="I28" s="348" t="s">
        <v>621</v>
      </c>
      <c r="J28" s="348" t="s">
        <v>621</v>
      </c>
      <c r="K28" s="348" t="s">
        <v>621</v>
      </c>
      <c r="L28" s="348" t="s">
        <v>832</v>
      </c>
      <c r="M28" s="348" t="s">
        <v>830</v>
      </c>
      <c r="N28" s="348" t="s">
        <v>830</v>
      </c>
      <c r="O28" s="348" t="s">
        <v>830</v>
      </c>
      <c r="P28" s="400" t="s">
        <v>908</v>
      </c>
      <c r="Q28" s="348" t="s">
        <v>621</v>
      </c>
      <c r="R28" s="348" t="s">
        <v>621</v>
      </c>
      <c r="S28" s="348" t="s">
        <v>621</v>
      </c>
      <c r="T28" s="348" t="s">
        <v>621</v>
      </c>
      <c r="U28" s="348" t="s">
        <v>621</v>
      </c>
      <c r="V28" s="348" t="s">
        <v>621</v>
      </c>
      <c r="W28" s="348" t="s">
        <v>621</v>
      </c>
      <c r="X28" s="348" t="s">
        <v>621</v>
      </c>
      <c r="Y28" s="348" t="s">
        <v>621</v>
      </c>
      <c r="Z28" s="348" t="s">
        <v>621</v>
      </c>
      <c r="AA28" s="348">
        <v>6</v>
      </c>
      <c r="AB28" s="348">
        <v>6</v>
      </c>
      <c r="AC28" s="400" t="s">
        <v>833</v>
      </c>
      <c r="AD28" s="348" t="s">
        <v>830</v>
      </c>
      <c r="AE28" s="348" t="s">
        <v>830</v>
      </c>
    </row>
    <row r="29" spans="1:31" s="287" customFormat="1" ht="105" x14ac:dyDescent="0.4">
      <c r="A29" s="380" t="s">
        <v>874</v>
      </c>
      <c r="B29" s="400" t="s">
        <v>821</v>
      </c>
      <c r="C29" s="348" t="s">
        <v>1053</v>
      </c>
      <c r="D29" s="348">
        <v>2024</v>
      </c>
      <c r="E29" s="348" t="s">
        <v>621</v>
      </c>
      <c r="F29" s="348" t="s">
        <v>621</v>
      </c>
      <c r="G29" s="348" t="s">
        <v>621</v>
      </c>
      <c r="H29" s="348" t="s">
        <v>621</v>
      </c>
      <c r="I29" s="348" t="s">
        <v>621</v>
      </c>
      <c r="J29" s="348" t="s">
        <v>621</v>
      </c>
      <c r="K29" s="348" t="s">
        <v>621</v>
      </c>
      <c r="L29" s="348" t="s">
        <v>832</v>
      </c>
      <c r="M29" s="348" t="s">
        <v>830</v>
      </c>
      <c r="N29" s="348" t="s">
        <v>830</v>
      </c>
      <c r="O29" s="348" t="s">
        <v>830</v>
      </c>
      <c r="P29" s="400" t="s">
        <v>837</v>
      </c>
      <c r="Q29" s="348" t="s">
        <v>621</v>
      </c>
      <c r="R29" s="348" t="s">
        <v>621</v>
      </c>
      <c r="S29" s="348" t="s">
        <v>621</v>
      </c>
      <c r="T29" s="348" t="s">
        <v>621</v>
      </c>
      <c r="U29" s="348" t="s">
        <v>621</v>
      </c>
      <c r="V29" s="348" t="s">
        <v>621</v>
      </c>
      <c r="W29" s="348" t="s">
        <v>621</v>
      </c>
      <c r="X29" s="348" t="s">
        <v>621</v>
      </c>
      <c r="Y29" s="348" t="s">
        <v>621</v>
      </c>
      <c r="Z29" s="348" t="s">
        <v>621</v>
      </c>
      <c r="AA29" s="348">
        <v>6</v>
      </c>
      <c r="AB29" s="348">
        <v>6</v>
      </c>
      <c r="AC29" s="400" t="s">
        <v>833</v>
      </c>
      <c r="AD29" s="348" t="s">
        <v>830</v>
      </c>
      <c r="AE29" s="348" t="s">
        <v>830</v>
      </c>
    </row>
    <row r="30" spans="1:31" s="287" customFormat="1" ht="105" x14ac:dyDescent="0.4">
      <c r="A30" s="380" t="s">
        <v>875</v>
      </c>
      <c r="B30" s="400" t="s">
        <v>1042</v>
      </c>
      <c r="C30" s="348" t="s">
        <v>1054</v>
      </c>
      <c r="D30" s="348">
        <v>2024</v>
      </c>
      <c r="E30" s="348" t="s">
        <v>621</v>
      </c>
      <c r="F30" s="348" t="s">
        <v>621</v>
      </c>
      <c r="G30" s="348" t="s">
        <v>621</v>
      </c>
      <c r="H30" s="348" t="s">
        <v>621</v>
      </c>
      <c r="I30" s="348" t="s">
        <v>621</v>
      </c>
      <c r="J30" s="348" t="s">
        <v>621</v>
      </c>
      <c r="K30" s="348" t="s">
        <v>621</v>
      </c>
      <c r="L30" s="348" t="s">
        <v>832</v>
      </c>
      <c r="M30" s="348" t="s">
        <v>830</v>
      </c>
      <c r="N30" s="348" t="s">
        <v>830</v>
      </c>
      <c r="O30" s="348" t="s">
        <v>830</v>
      </c>
      <c r="P30" s="400" t="s">
        <v>909</v>
      </c>
      <c r="Q30" s="348" t="s">
        <v>621</v>
      </c>
      <c r="R30" s="348" t="s">
        <v>621</v>
      </c>
      <c r="S30" s="348" t="s">
        <v>621</v>
      </c>
      <c r="T30" s="348" t="s">
        <v>621</v>
      </c>
      <c r="U30" s="348" t="s">
        <v>621</v>
      </c>
      <c r="V30" s="348" t="s">
        <v>621</v>
      </c>
      <c r="W30" s="348" t="s">
        <v>621</v>
      </c>
      <c r="X30" s="348" t="s">
        <v>621</v>
      </c>
      <c r="Y30" s="348" t="s">
        <v>621</v>
      </c>
      <c r="Z30" s="348" t="s">
        <v>621</v>
      </c>
      <c r="AA30" s="348">
        <v>6</v>
      </c>
      <c r="AB30" s="348">
        <v>6</v>
      </c>
      <c r="AC30" s="400" t="s">
        <v>833</v>
      </c>
      <c r="AD30" s="348" t="s">
        <v>830</v>
      </c>
      <c r="AE30" s="348" t="s">
        <v>830</v>
      </c>
    </row>
    <row r="31" spans="1:31" s="287" customFormat="1" ht="105" x14ac:dyDescent="0.4">
      <c r="A31" s="380" t="s">
        <v>884</v>
      </c>
      <c r="B31" s="400" t="s">
        <v>901</v>
      </c>
      <c r="C31" s="348" t="s">
        <v>1055</v>
      </c>
      <c r="D31" s="348">
        <v>2024</v>
      </c>
      <c r="E31" s="348" t="s">
        <v>621</v>
      </c>
      <c r="F31" s="348" t="s">
        <v>621</v>
      </c>
      <c r="G31" s="348" t="s">
        <v>621</v>
      </c>
      <c r="H31" s="348" t="s">
        <v>621</v>
      </c>
      <c r="I31" s="348" t="s">
        <v>621</v>
      </c>
      <c r="J31" s="348" t="s">
        <v>621</v>
      </c>
      <c r="K31" s="348" t="s">
        <v>621</v>
      </c>
      <c r="L31" s="348" t="s">
        <v>832</v>
      </c>
      <c r="M31" s="348" t="s">
        <v>830</v>
      </c>
      <c r="N31" s="348" t="s">
        <v>830</v>
      </c>
      <c r="O31" s="348" t="s">
        <v>830</v>
      </c>
      <c r="P31" s="400" t="s">
        <v>910</v>
      </c>
      <c r="Q31" s="348" t="s">
        <v>621</v>
      </c>
      <c r="R31" s="348" t="s">
        <v>621</v>
      </c>
      <c r="S31" s="348" t="s">
        <v>621</v>
      </c>
      <c r="T31" s="348" t="s">
        <v>621</v>
      </c>
      <c r="U31" s="348" t="s">
        <v>621</v>
      </c>
      <c r="V31" s="348" t="s">
        <v>621</v>
      </c>
      <c r="W31" s="348" t="s">
        <v>621</v>
      </c>
      <c r="X31" s="348" t="s">
        <v>621</v>
      </c>
      <c r="Y31" s="348" t="s">
        <v>621</v>
      </c>
      <c r="Z31" s="348" t="s">
        <v>621</v>
      </c>
      <c r="AA31" s="348">
        <v>6</v>
      </c>
      <c r="AB31" s="348">
        <v>6</v>
      </c>
      <c r="AC31" s="400" t="s">
        <v>833</v>
      </c>
      <c r="AD31" s="348" t="s">
        <v>830</v>
      </c>
      <c r="AE31" s="348" t="s">
        <v>830</v>
      </c>
    </row>
    <row r="32" spans="1:31" s="322" customFormat="1" ht="105" x14ac:dyDescent="0.4">
      <c r="A32" s="380" t="s">
        <v>1659</v>
      </c>
      <c r="B32" s="381" t="s">
        <v>1671</v>
      </c>
      <c r="C32" s="348" t="s">
        <v>1683</v>
      </c>
      <c r="D32" s="348">
        <v>2021</v>
      </c>
      <c r="E32" s="348" t="s">
        <v>621</v>
      </c>
      <c r="F32" s="348" t="s">
        <v>621</v>
      </c>
      <c r="G32" s="348" t="s">
        <v>621</v>
      </c>
      <c r="H32" s="348" t="s">
        <v>621</v>
      </c>
      <c r="I32" s="348" t="s">
        <v>621</v>
      </c>
      <c r="J32" s="348" t="s">
        <v>621</v>
      </c>
      <c r="K32" s="348" t="s">
        <v>621</v>
      </c>
      <c r="L32" s="348" t="s">
        <v>832</v>
      </c>
      <c r="M32" s="348" t="s">
        <v>830</v>
      </c>
      <c r="N32" s="348" t="s">
        <v>830</v>
      </c>
      <c r="O32" s="348" t="s">
        <v>830</v>
      </c>
      <c r="P32" s="400" t="s">
        <v>1699</v>
      </c>
      <c r="Q32" s="348" t="s">
        <v>621</v>
      </c>
      <c r="R32" s="348" t="s">
        <v>621</v>
      </c>
      <c r="S32" s="348" t="s">
        <v>621</v>
      </c>
      <c r="T32" s="348" t="s">
        <v>621</v>
      </c>
      <c r="U32" s="348" t="s">
        <v>621</v>
      </c>
      <c r="V32" s="348" t="s">
        <v>621</v>
      </c>
      <c r="W32" s="348" t="s">
        <v>621</v>
      </c>
      <c r="X32" s="348" t="s">
        <v>621</v>
      </c>
      <c r="Y32" s="348" t="s">
        <v>621</v>
      </c>
      <c r="Z32" s="348" t="s">
        <v>621</v>
      </c>
      <c r="AA32" s="348">
        <v>6</v>
      </c>
      <c r="AB32" s="348">
        <v>6</v>
      </c>
      <c r="AC32" s="400" t="s">
        <v>833</v>
      </c>
      <c r="AD32" s="348" t="s">
        <v>830</v>
      </c>
      <c r="AE32" s="348" t="s">
        <v>830</v>
      </c>
    </row>
    <row r="33" spans="1:31" s="322" customFormat="1" ht="105" x14ac:dyDescent="0.4">
      <c r="A33" s="380" t="s">
        <v>1660</v>
      </c>
      <c r="B33" s="381" t="s">
        <v>1672</v>
      </c>
      <c r="C33" s="348" t="s">
        <v>1684</v>
      </c>
      <c r="D33" s="348">
        <v>2021</v>
      </c>
      <c r="E33" s="348" t="s">
        <v>621</v>
      </c>
      <c r="F33" s="348" t="s">
        <v>621</v>
      </c>
      <c r="G33" s="348" t="s">
        <v>621</v>
      </c>
      <c r="H33" s="348" t="s">
        <v>621</v>
      </c>
      <c r="I33" s="348" t="s">
        <v>621</v>
      </c>
      <c r="J33" s="348" t="s">
        <v>621</v>
      </c>
      <c r="K33" s="348" t="s">
        <v>621</v>
      </c>
      <c r="L33" s="348" t="s">
        <v>832</v>
      </c>
      <c r="M33" s="348" t="s">
        <v>830</v>
      </c>
      <c r="N33" s="348" t="s">
        <v>830</v>
      </c>
      <c r="O33" s="348" t="s">
        <v>830</v>
      </c>
      <c r="P33" s="400" t="s">
        <v>1700</v>
      </c>
      <c r="Q33" s="348" t="s">
        <v>621</v>
      </c>
      <c r="R33" s="348" t="s">
        <v>621</v>
      </c>
      <c r="S33" s="348" t="s">
        <v>621</v>
      </c>
      <c r="T33" s="348" t="s">
        <v>621</v>
      </c>
      <c r="U33" s="348" t="s">
        <v>621</v>
      </c>
      <c r="V33" s="348" t="s">
        <v>621</v>
      </c>
      <c r="W33" s="348" t="s">
        <v>621</v>
      </c>
      <c r="X33" s="348" t="s">
        <v>621</v>
      </c>
      <c r="Y33" s="348" t="s">
        <v>621</v>
      </c>
      <c r="Z33" s="348" t="s">
        <v>621</v>
      </c>
      <c r="AA33" s="348">
        <v>6</v>
      </c>
      <c r="AB33" s="348">
        <v>6</v>
      </c>
      <c r="AC33" s="400" t="s">
        <v>833</v>
      </c>
      <c r="AD33" s="348" t="s">
        <v>830</v>
      </c>
      <c r="AE33" s="348" t="s">
        <v>830</v>
      </c>
    </row>
    <row r="34" spans="1:31" s="322" customFormat="1" ht="105" x14ac:dyDescent="0.4">
      <c r="A34" s="380" t="s">
        <v>1661</v>
      </c>
      <c r="B34" s="381" t="s">
        <v>1673</v>
      </c>
      <c r="C34" s="348" t="s">
        <v>1685</v>
      </c>
      <c r="D34" s="348">
        <v>2021</v>
      </c>
      <c r="E34" s="348" t="s">
        <v>621</v>
      </c>
      <c r="F34" s="348" t="s">
        <v>621</v>
      </c>
      <c r="G34" s="348" t="s">
        <v>621</v>
      </c>
      <c r="H34" s="348" t="s">
        <v>621</v>
      </c>
      <c r="I34" s="348" t="s">
        <v>621</v>
      </c>
      <c r="J34" s="348" t="s">
        <v>621</v>
      </c>
      <c r="K34" s="348" t="s">
        <v>621</v>
      </c>
      <c r="L34" s="348" t="s">
        <v>832</v>
      </c>
      <c r="M34" s="348" t="s">
        <v>830</v>
      </c>
      <c r="N34" s="348" t="s">
        <v>830</v>
      </c>
      <c r="O34" s="348" t="s">
        <v>830</v>
      </c>
      <c r="P34" s="400" t="s">
        <v>1710</v>
      </c>
      <c r="Q34" s="348" t="s">
        <v>621</v>
      </c>
      <c r="R34" s="348" t="s">
        <v>621</v>
      </c>
      <c r="S34" s="348" t="s">
        <v>621</v>
      </c>
      <c r="T34" s="348" t="s">
        <v>621</v>
      </c>
      <c r="U34" s="348" t="s">
        <v>621</v>
      </c>
      <c r="V34" s="348" t="s">
        <v>621</v>
      </c>
      <c r="W34" s="348" t="s">
        <v>621</v>
      </c>
      <c r="X34" s="348" t="s">
        <v>621</v>
      </c>
      <c r="Y34" s="348" t="s">
        <v>621</v>
      </c>
      <c r="Z34" s="348" t="s">
        <v>621</v>
      </c>
      <c r="AA34" s="348">
        <v>6</v>
      </c>
      <c r="AB34" s="348">
        <v>6</v>
      </c>
      <c r="AC34" s="400" t="s">
        <v>833</v>
      </c>
      <c r="AD34" s="348" t="s">
        <v>830</v>
      </c>
      <c r="AE34" s="348" t="s">
        <v>830</v>
      </c>
    </row>
    <row r="35" spans="1:31" s="322" customFormat="1" ht="105" x14ac:dyDescent="0.4">
      <c r="A35" s="380" t="s">
        <v>1662</v>
      </c>
      <c r="B35" s="381" t="s">
        <v>1674</v>
      </c>
      <c r="C35" s="348" t="s">
        <v>1686</v>
      </c>
      <c r="D35" s="348">
        <v>2021</v>
      </c>
      <c r="E35" s="348" t="s">
        <v>621</v>
      </c>
      <c r="F35" s="348" t="s">
        <v>621</v>
      </c>
      <c r="G35" s="348" t="s">
        <v>621</v>
      </c>
      <c r="H35" s="348" t="s">
        <v>621</v>
      </c>
      <c r="I35" s="348" t="s">
        <v>621</v>
      </c>
      <c r="J35" s="348" t="s">
        <v>621</v>
      </c>
      <c r="K35" s="348" t="s">
        <v>621</v>
      </c>
      <c r="L35" s="348" t="s">
        <v>832</v>
      </c>
      <c r="M35" s="348" t="s">
        <v>830</v>
      </c>
      <c r="N35" s="348" t="s">
        <v>830</v>
      </c>
      <c r="O35" s="348" t="s">
        <v>830</v>
      </c>
      <c r="P35" s="400" t="s">
        <v>1709</v>
      </c>
      <c r="Q35" s="348" t="s">
        <v>621</v>
      </c>
      <c r="R35" s="348" t="s">
        <v>621</v>
      </c>
      <c r="S35" s="348" t="s">
        <v>621</v>
      </c>
      <c r="T35" s="348" t="s">
        <v>621</v>
      </c>
      <c r="U35" s="348" t="s">
        <v>621</v>
      </c>
      <c r="V35" s="348" t="s">
        <v>621</v>
      </c>
      <c r="W35" s="348" t="s">
        <v>621</v>
      </c>
      <c r="X35" s="348" t="s">
        <v>621</v>
      </c>
      <c r="Y35" s="348" t="s">
        <v>621</v>
      </c>
      <c r="Z35" s="348" t="s">
        <v>621</v>
      </c>
      <c r="AA35" s="348">
        <v>6</v>
      </c>
      <c r="AB35" s="348">
        <v>6</v>
      </c>
      <c r="AC35" s="400" t="s">
        <v>833</v>
      </c>
      <c r="AD35" s="348" t="s">
        <v>830</v>
      </c>
      <c r="AE35" s="348" t="s">
        <v>830</v>
      </c>
    </row>
    <row r="36" spans="1:31" s="322" customFormat="1" ht="105" x14ac:dyDescent="0.4">
      <c r="A36" s="380" t="s">
        <v>1663</v>
      </c>
      <c r="B36" s="381" t="s">
        <v>1675</v>
      </c>
      <c r="C36" s="348" t="s">
        <v>1687</v>
      </c>
      <c r="D36" s="348">
        <v>2021</v>
      </c>
      <c r="E36" s="348" t="s">
        <v>621</v>
      </c>
      <c r="F36" s="348" t="s">
        <v>621</v>
      </c>
      <c r="G36" s="348" t="s">
        <v>621</v>
      </c>
      <c r="H36" s="348" t="s">
        <v>621</v>
      </c>
      <c r="I36" s="348" t="s">
        <v>621</v>
      </c>
      <c r="J36" s="348" t="s">
        <v>621</v>
      </c>
      <c r="K36" s="348" t="s">
        <v>621</v>
      </c>
      <c r="L36" s="348" t="s">
        <v>832</v>
      </c>
      <c r="M36" s="348" t="s">
        <v>830</v>
      </c>
      <c r="N36" s="348" t="s">
        <v>830</v>
      </c>
      <c r="O36" s="348" t="s">
        <v>830</v>
      </c>
      <c r="P36" s="400" t="s">
        <v>1708</v>
      </c>
      <c r="Q36" s="348" t="s">
        <v>621</v>
      </c>
      <c r="R36" s="348" t="s">
        <v>621</v>
      </c>
      <c r="S36" s="348" t="s">
        <v>621</v>
      </c>
      <c r="T36" s="348" t="s">
        <v>621</v>
      </c>
      <c r="U36" s="348" t="s">
        <v>621</v>
      </c>
      <c r="V36" s="348" t="s">
        <v>621</v>
      </c>
      <c r="W36" s="348" t="s">
        <v>621</v>
      </c>
      <c r="X36" s="348" t="s">
        <v>621</v>
      </c>
      <c r="Y36" s="348" t="s">
        <v>621</v>
      </c>
      <c r="Z36" s="348" t="s">
        <v>621</v>
      </c>
      <c r="AA36" s="348">
        <v>0.4</v>
      </c>
      <c r="AB36" s="348">
        <v>0.4</v>
      </c>
      <c r="AC36" s="400" t="s">
        <v>833</v>
      </c>
      <c r="AD36" s="348" t="s">
        <v>830</v>
      </c>
      <c r="AE36" s="348" t="s">
        <v>830</v>
      </c>
    </row>
    <row r="37" spans="1:31" s="322" customFormat="1" ht="105" x14ac:dyDescent="0.4">
      <c r="A37" s="380" t="s">
        <v>1664</v>
      </c>
      <c r="B37" s="381" t="s">
        <v>1676</v>
      </c>
      <c r="C37" s="348" t="s">
        <v>1688</v>
      </c>
      <c r="D37" s="348">
        <v>2021</v>
      </c>
      <c r="E37" s="348" t="s">
        <v>621</v>
      </c>
      <c r="F37" s="348" t="s">
        <v>621</v>
      </c>
      <c r="G37" s="348" t="s">
        <v>621</v>
      </c>
      <c r="H37" s="348" t="s">
        <v>621</v>
      </c>
      <c r="I37" s="348" t="s">
        <v>621</v>
      </c>
      <c r="J37" s="348" t="s">
        <v>621</v>
      </c>
      <c r="K37" s="348" t="s">
        <v>621</v>
      </c>
      <c r="L37" s="348" t="s">
        <v>832</v>
      </c>
      <c r="M37" s="348" t="s">
        <v>830</v>
      </c>
      <c r="N37" s="348" t="s">
        <v>830</v>
      </c>
      <c r="O37" s="348" t="s">
        <v>830</v>
      </c>
      <c r="P37" s="400" t="s">
        <v>1707</v>
      </c>
      <c r="Q37" s="348" t="s">
        <v>621</v>
      </c>
      <c r="R37" s="348" t="s">
        <v>621</v>
      </c>
      <c r="S37" s="348" t="s">
        <v>621</v>
      </c>
      <c r="T37" s="348" t="s">
        <v>621</v>
      </c>
      <c r="U37" s="348" t="s">
        <v>621</v>
      </c>
      <c r="V37" s="348" t="s">
        <v>621</v>
      </c>
      <c r="W37" s="348" t="s">
        <v>621</v>
      </c>
      <c r="X37" s="348" t="s">
        <v>621</v>
      </c>
      <c r="Y37" s="348" t="s">
        <v>621</v>
      </c>
      <c r="Z37" s="348" t="s">
        <v>621</v>
      </c>
      <c r="AA37" s="348">
        <v>0.4</v>
      </c>
      <c r="AB37" s="348">
        <v>0.4</v>
      </c>
      <c r="AC37" s="400" t="s">
        <v>833</v>
      </c>
      <c r="AD37" s="348" t="s">
        <v>830</v>
      </c>
      <c r="AE37" s="348" t="s">
        <v>830</v>
      </c>
    </row>
    <row r="38" spans="1:31" s="322" customFormat="1" ht="105" x14ac:dyDescent="0.4">
      <c r="A38" s="380" t="s">
        <v>1665</v>
      </c>
      <c r="B38" s="381" t="s">
        <v>1677</v>
      </c>
      <c r="C38" s="348" t="s">
        <v>1689</v>
      </c>
      <c r="D38" s="348">
        <v>2021</v>
      </c>
      <c r="E38" s="348" t="s">
        <v>621</v>
      </c>
      <c r="F38" s="348" t="s">
        <v>621</v>
      </c>
      <c r="G38" s="348" t="s">
        <v>621</v>
      </c>
      <c r="H38" s="348" t="s">
        <v>621</v>
      </c>
      <c r="I38" s="348" t="s">
        <v>621</v>
      </c>
      <c r="J38" s="348" t="s">
        <v>621</v>
      </c>
      <c r="K38" s="348" t="s">
        <v>621</v>
      </c>
      <c r="L38" s="348" t="s">
        <v>832</v>
      </c>
      <c r="M38" s="348" t="s">
        <v>830</v>
      </c>
      <c r="N38" s="348" t="s">
        <v>830</v>
      </c>
      <c r="O38" s="348" t="s">
        <v>830</v>
      </c>
      <c r="P38" s="400" t="s">
        <v>1706</v>
      </c>
      <c r="Q38" s="348" t="s">
        <v>621</v>
      </c>
      <c r="R38" s="348" t="s">
        <v>621</v>
      </c>
      <c r="S38" s="348" t="s">
        <v>621</v>
      </c>
      <c r="T38" s="348" t="s">
        <v>621</v>
      </c>
      <c r="U38" s="348" t="s">
        <v>621</v>
      </c>
      <c r="V38" s="348" t="s">
        <v>621</v>
      </c>
      <c r="W38" s="348" t="s">
        <v>621</v>
      </c>
      <c r="X38" s="348" t="s">
        <v>621</v>
      </c>
      <c r="Y38" s="348" t="s">
        <v>621</v>
      </c>
      <c r="Z38" s="348" t="s">
        <v>621</v>
      </c>
      <c r="AA38" s="348">
        <v>0.4</v>
      </c>
      <c r="AB38" s="348">
        <v>0.4</v>
      </c>
      <c r="AC38" s="400" t="s">
        <v>833</v>
      </c>
      <c r="AD38" s="348" t="s">
        <v>830</v>
      </c>
      <c r="AE38" s="348" t="s">
        <v>830</v>
      </c>
    </row>
    <row r="39" spans="1:31" s="322" customFormat="1" ht="105" x14ac:dyDescent="0.4">
      <c r="A39" s="380" t="s">
        <v>1666</v>
      </c>
      <c r="B39" s="381" t="s">
        <v>1678</v>
      </c>
      <c r="C39" s="348" t="s">
        <v>1690</v>
      </c>
      <c r="D39" s="348">
        <v>2021</v>
      </c>
      <c r="E39" s="348" t="s">
        <v>621</v>
      </c>
      <c r="F39" s="348" t="s">
        <v>621</v>
      </c>
      <c r="G39" s="348" t="s">
        <v>621</v>
      </c>
      <c r="H39" s="348" t="s">
        <v>621</v>
      </c>
      <c r="I39" s="348" t="s">
        <v>621</v>
      </c>
      <c r="J39" s="348" t="s">
        <v>621</v>
      </c>
      <c r="K39" s="348" t="s">
        <v>621</v>
      </c>
      <c r="L39" s="348" t="s">
        <v>832</v>
      </c>
      <c r="M39" s="348" t="s">
        <v>830</v>
      </c>
      <c r="N39" s="348" t="s">
        <v>830</v>
      </c>
      <c r="O39" s="348" t="s">
        <v>830</v>
      </c>
      <c r="P39" s="400" t="s">
        <v>1705</v>
      </c>
      <c r="Q39" s="348" t="s">
        <v>621</v>
      </c>
      <c r="R39" s="348" t="s">
        <v>621</v>
      </c>
      <c r="S39" s="348" t="s">
        <v>621</v>
      </c>
      <c r="T39" s="348" t="s">
        <v>621</v>
      </c>
      <c r="U39" s="348" t="s">
        <v>621</v>
      </c>
      <c r="V39" s="348" t="s">
        <v>621</v>
      </c>
      <c r="W39" s="348" t="s">
        <v>621</v>
      </c>
      <c r="X39" s="348" t="s">
        <v>621</v>
      </c>
      <c r="Y39" s="348" t="s">
        <v>621</v>
      </c>
      <c r="Z39" s="348" t="s">
        <v>621</v>
      </c>
      <c r="AA39" s="348">
        <v>0.4</v>
      </c>
      <c r="AB39" s="348">
        <v>0.4</v>
      </c>
      <c r="AC39" s="400" t="s">
        <v>833</v>
      </c>
      <c r="AD39" s="348" t="s">
        <v>830</v>
      </c>
      <c r="AE39" s="348" t="s">
        <v>830</v>
      </c>
    </row>
    <row r="40" spans="1:31" s="322" customFormat="1" ht="105" x14ac:dyDescent="0.4">
      <c r="A40" s="380" t="s">
        <v>1667</v>
      </c>
      <c r="B40" s="381" t="s">
        <v>1679</v>
      </c>
      <c r="C40" s="348" t="s">
        <v>1691</v>
      </c>
      <c r="D40" s="348">
        <v>2021</v>
      </c>
      <c r="E40" s="348" t="s">
        <v>621</v>
      </c>
      <c r="F40" s="348" t="s">
        <v>621</v>
      </c>
      <c r="G40" s="348" t="s">
        <v>621</v>
      </c>
      <c r="H40" s="348" t="s">
        <v>621</v>
      </c>
      <c r="I40" s="348" t="s">
        <v>621</v>
      </c>
      <c r="J40" s="348" t="s">
        <v>621</v>
      </c>
      <c r="K40" s="348" t="s">
        <v>621</v>
      </c>
      <c r="L40" s="348" t="s">
        <v>832</v>
      </c>
      <c r="M40" s="348" t="s">
        <v>830</v>
      </c>
      <c r="N40" s="348" t="s">
        <v>830</v>
      </c>
      <c r="O40" s="348" t="s">
        <v>830</v>
      </c>
      <c r="P40" s="400" t="s">
        <v>1704</v>
      </c>
      <c r="Q40" s="348" t="s">
        <v>621</v>
      </c>
      <c r="R40" s="348" t="s">
        <v>621</v>
      </c>
      <c r="S40" s="348" t="s">
        <v>621</v>
      </c>
      <c r="T40" s="348" t="s">
        <v>621</v>
      </c>
      <c r="U40" s="348" t="s">
        <v>621</v>
      </c>
      <c r="V40" s="348" t="s">
        <v>621</v>
      </c>
      <c r="W40" s="348" t="s">
        <v>621</v>
      </c>
      <c r="X40" s="348" t="s">
        <v>621</v>
      </c>
      <c r="Y40" s="348" t="s">
        <v>621</v>
      </c>
      <c r="Z40" s="348" t="s">
        <v>621</v>
      </c>
      <c r="AA40" s="348">
        <v>0.4</v>
      </c>
      <c r="AB40" s="348">
        <v>0.4</v>
      </c>
      <c r="AC40" s="400" t="s">
        <v>833</v>
      </c>
      <c r="AD40" s="348" t="s">
        <v>830</v>
      </c>
      <c r="AE40" s="348" t="s">
        <v>830</v>
      </c>
    </row>
    <row r="41" spans="1:31" s="322" customFormat="1" ht="105" x14ac:dyDescent="0.4">
      <c r="A41" s="380" t="s">
        <v>1668</v>
      </c>
      <c r="B41" s="381" t="s">
        <v>1680</v>
      </c>
      <c r="C41" s="348" t="s">
        <v>1692</v>
      </c>
      <c r="D41" s="348">
        <v>2021</v>
      </c>
      <c r="E41" s="348" t="s">
        <v>621</v>
      </c>
      <c r="F41" s="348" t="s">
        <v>621</v>
      </c>
      <c r="G41" s="348" t="s">
        <v>621</v>
      </c>
      <c r="H41" s="348" t="s">
        <v>621</v>
      </c>
      <c r="I41" s="348" t="s">
        <v>621</v>
      </c>
      <c r="J41" s="348" t="s">
        <v>621</v>
      </c>
      <c r="K41" s="348" t="s">
        <v>621</v>
      </c>
      <c r="L41" s="348" t="s">
        <v>832</v>
      </c>
      <c r="M41" s="348" t="s">
        <v>830</v>
      </c>
      <c r="N41" s="348" t="s">
        <v>830</v>
      </c>
      <c r="O41" s="348" t="s">
        <v>830</v>
      </c>
      <c r="P41" s="400" t="s">
        <v>1703</v>
      </c>
      <c r="Q41" s="348" t="s">
        <v>621</v>
      </c>
      <c r="R41" s="348" t="s">
        <v>621</v>
      </c>
      <c r="S41" s="348" t="s">
        <v>621</v>
      </c>
      <c r="T41" s="348" t="s">
        <v>621</v>
      </c>
      <c r="U41" s="348" t="s">
        <v>621</v>
      </c>
      <c r="V41" s="348" t="s">
        <v>621</v>
      </c>
      <c r="W41" s="348" t="s">
        <v>621</v>
      </c>
      <c r="X41" s="348" t="s">
        <v>621</v>
      </c>
      <c r="Y41" s="348" t="s">
        <v>621</v>
      </c>
      <c r="Z41" s="348" t="s">
        <v>621</v>
      </c>
      <c r="AA41" s="348">
        <v>0.4</v>
      </c>
      <c r="AB41" s="348">
        <v>0.4</v>
      </c>
      <c r="AC41" s="400" t="s">
        <v>833</v>
      </c>
      <c r="AD41" s="348" t="s">
        <v>830</v>
      </c>
      <c r="AE41" s="348" t="s">
        <v>830</v>
      </c>
    </row>
    <row r="42" spans="1:31" s="322" customFormat="1" ht="105" x14ac:dyDescent="0.4">
      <c r="A42" s="380" t="s">
        <v>1669</v>
      </c>
      <c r="B42" s="381" t="s">
        <v>1681</v>
      </c>
      <c r="C42" s="348" t="s">
        <v>1693</v>
      </c>
      <c r="D42" s="348">
        <v>2021</v>
      </c>
      <c r="E42" s="348" t="s">
        <v>621</v>
      </c>
      <c r="F42" s="348" t="s">
        <v>621</v>
      </c>
      <c r="G42" s="348" t="s">
        <v>621</v>
      </c>
      <c r="H42" s="348" t="s">
        <v>621</v>
      </c>
      <c r="I42" s="348" t="s">
        <v>621</v>
      </c>
      <c r="J42" s="348" t="s">
        <v>621</v>
      </c>
      <c r="K42" s="348" t="s">
        <v>621</v>
      </c>
      <c r="L42" s="348" t="s">
        <v>832</v>
      </c>
      <c r="M42" s="348" t="s">
        <v>830</v>
      </c>
      <c r="N42" s="348" t="s">
        <v>830</v>
      </c>
      <c r="O42" s="348" t="s">
        <v>830</v>
      </c>
      <c r="P42" s="400" t="s">
        <v>1702</v>
      </c>
      <c r="Q42" s="348" t="s">
        <v>621</v>
      </c>
      <c r="R42" s="348" t="s">
        <v>621</v>
      </c>
      <c r="S42" s="348" t="s">
        <v>621</v>
      </c>
      <c r="T42" s="348" t="s">
        <v>621</v>
      </c>
      <c r="U42" s="348" t="s">
        <v>621</v>
      </c>
      <c r="V42" s="348" t="s">
        <v>621</v>
      </c>
      <c r="W42" s="348" t="s">
        <v>621</v>
      </c>
      <c r="X42" s="348" t="s">
        <v>621</v>
      </c>
      <c r="Y42" s="348" t="s">
        <v>621</v>
      </c>
      <c r="Z42" s="348" t="s">
        <v>621</v>
      </c>
      <c r="AA42" s="348">
        <v>0.4</v>
      </c>
      <c r="AB42" s="348">
        <v>0.4</v>
      </c>
      <c r="AC42" s="400" t="s">
        <v>833</v>
      </c>
      <c r="AD42" s="348" t="s">
        <v>830</v>
      </c>
      <c r="AE42" s="348" t="s">
        <v>830</v>
      </c>
    </row>
    <row r="43" spans="1:31" s="322" customFormat="1" ht="105" x14ac:dyDescent="0.4">
      <c r="A43" s="380" t="s">
        <v>1670</v>
      </c>
      <c r="B43" s="381" t="s">
        <v>1682</v>
      </c>
      <c r="C43" s="348" t="s">
        <v>1694</v>
      </c>
      <c r="D43" s="348">
        <v>2021</v>
      </c>
      <c r="E43" s="348" t="s">
        <v>621</v>
      </c>
      <c r="F43" s="348" t="s">
        <v>621</v>
      </c>
      <c r="G43" s="348" t="s">
        <v>621</v>
      </c>
      <c r="H43" s="348" t="s">
        <v>621</v>
      </c>
      <c r="I43" s="348" t="s">
        <v>621</v>
      </c>
      <c r="J43" s="348" t="s">
        <v>621</v>
      </c>
      <c r="K43" s="348" t="s">
        <v>621</v>
      </c>
      <c r="L43" s="348" t="s">
        <v>832</v>
      </c>
      <c r="M43" s="348" t="s">
        <v>830</v>
      </c>
      <c r="N43" s="348" t="s">
        <v>830</v>
      </c>
      <c r="O43" s="348" t="s">
        <v>830</v>
      </c>
      <c r="P43" s="400" t="s">
        <v>1701</v>
      </c>
      <c r="Q43" s="348" t="s">
        <v>621</v>
      </c>
      <c r="R43" s="348" t="s">
        <v>621</v>
      </c>
      <c r="S43" s="348" t="s">
        <v>621</v>
      </c>
      <c r="T43" s="348" t="s">
        <v>621</v>
      </c>
      <c r="U43" s="348" t="s">
        <v>621</v>
      </c>
      <c r="V43" s="348" t="s">
        <v>621</v>
      </c>
      <c r="W43" s="348" t="s">
        <v>621</v>
      </c>
      <c r="X43" s="348" t="s">
        <v>621</v>
      </c>
      <c r="Y43" s="348" t="s">
        <v>621</v>
      </c>
      <c r="Z43" s="348" t="s">
        <v>621</v>
      </c>
      <c r="AA43" s="348">
        <v>0.4</v>
      </c>
      <c r="AB43" s="348">
        <v>0.4</v>
      </c>
      <c r="AC43" s="400" t="s">
        <v>833</v>
      </c>
      <c r="AD43" s="348" t="s">
        <v>830</v>
      </c>
      <c r="AE43" s="348" t="s">
        <v>830</v>
      </c>
    </row>
    <row r="44" spans="1:31" s="322" customFormat="1" ht="105" x14ac:dyDescent="0.4">
      <c r="A44" s="380" t="s">
        <v>1716</v>
      </c>
      <c r="B44" s="381" t="s">
        <v>1715</v>
      </c>
      <c r="C44" s="395" t="s">
        <v>1730</v>
      </c>
      <c r="D44" s="348">
        <v>2022</v>
      </c>
      <c r="E44" s="348" t="s">
        <v>621</v>
      </c>
      <c r="F44" s="348" t="s">
        <v>621</v>
      </c>
      <c r="G44" s="348" t="s">
        <v>621</v>
      </c>
      <c r="H44" s="348" t="s">
        <v>621</v>
      </c>
      <c r="I44" s="348" t="s">
        <v>621</v>
      </c>
      <c r="J44" s="348" t="s">
        <v>621</v>
      </c>
      <c r="K44" s="348" t="s">
        <v>621</v>
      </c>
      <c r="L44" s="348" t="s">
        <v>832</v>
      </c>
      <c r="M44" s="348" t="s">
        <v>830</v>
      </c>
      <c r="N44" s="348" t="s">
        <v>830</v>
      </c>
      <c r="O44" s="348" t="s">
        <v>830</v>
      </c>
      <c r="P44" s="400" t="s">
        <v>1740</v>
      </c>
      <c r="Q44" s="348" t="s">
        <v>621</v>
      </c>
      <c r="R44" s="348" t="s">
        <v>621</v>
      </c>
      <c r="S44" s="348" t="s">
        <v>621</v>
      </c>
      <c r="T44" s="348" t="s">
        <v>621</v>
      </c>
      <c r="U44" s="348" t="s">
        <v>621</v>
      </c>
      <c r="V44" s="348" t="s">
        <v>621</v>
      </c>
      <c r="W44" s="348" t="s">
        <v>621</v>
      </c>
      <c r="X44" s="348" t="s">
        <v>621</v>
      </c>
      <c r="Y44" s="348" t="s">
        <v>621</v>
      </c>
      <c r="Z44" s="348" t="s">
        <v>621</v>
      </c>
      <c r="AA44" s="348">
        <v>6</v>
      </c>
      <c r="AB44" s="348">
        <v>6</v>
      </c>
      <c r="AC44" s="400" t="s">
        <v>833</v>
      </c>
      <c r="AD44" s="348"/>
      <c r="AE44" s="348"/>
    </row>
    <row r="45" spans="1:31" s="310" customFormat="1" ht="78.75" x14ac:dyDescent="0.4">
      <c r="A45" s="543" t="s">
        <v>546</v>
      </c>
      <c r="B45" s="544" t="s">
        <v>739</v>
      </c>
      <c r="C45" s="708" t="s">
        <v>621</v>
      </c>
      <c r="D45" s="708" t="s">
        <v>951</v>
      </c>
      <c r="E45" s="708" t="s">
        <v>621</v>
      </c>
      <c r="F45" s="708" t="s">
        <v>621</v>
      </c>
      <c r="G45" s="708" t="s">
        <v>621</v>
      </c>
      <c r="H45" s="708" t="s">
        <v>621</v>
      </c>
      <c r="I45" s="708" t="s">
        <v>621</v>
      </c>
      <c r="J45" s="708" t="s">
        <v>621</v>
      </c>
      <c r="K45" s="708" t="s">
        <v>621</v>
      </c>
      <c r="L45" s="708" t="s">
        <v>832</v>
      </c>
      <c r="M45" s="708" t="s">
        <v>830</v>
      </c>
      <c r="N45" s="708" t="s">
        <v>830</v>
      </c>
      <c r="O45" s="708" t="s">
        <v>830</v>
      </c>
      <c r="P45" s="690"/>
      <c r="Q45" s="708" t="s">
        <v>621</v>
      </c>
      <c r="R45" s="708" t="s">
        <v>621</v>
      </c>
      <c r="S45" s="708" t="s">
        <v>621</v>
      </c>
      <c r="T45" s="708" t="s">
        <v>621</v>
      </c>
      <c r="U45" s="708" t="s">
        <v>621</v>
      </c>
      <c r="V45" s="708" t="s">
        <v>621</v>
      </c>
      <c r="W45" s="708" t="s">
        <v>621</v>
      </c>
      <c r="X45" s="708" t="s">
        <v>621</v>
      </c>
      <c r="Y45" s="708" t="s">
        <v>621</v>
      </c>
      <c r="Z45" s="708" t="s">
        <v>621</v>
      </c>
      <c r="AA45" s="708" t="s">
        <v>621</v>
      </c>
      <c r="AB45" s="708" t="s">
        <v>621</v>
      </c>
      <c r="AC45" s="690"/>
      <c r="AD45" s="708" t="s">
        <v>621</v>
      </c>
      <c r="AE45" s="708" t="s">
        <v>621</v>
      </c>
    </row>
    <row r="46" spans="1:31" s="287" customFormat="1" ht="105" x14ac:dyDescent="0.4">
      <c r="A46" s="380" t="s">
        <v>599</v>
      </c>
      <c r="B46" s="381" t="s">
        <v>740</v>
      </c>
      <c r="C46" s="348" t="s">
        <v>621</v>
      </c>
      <c r="D46" s="348" t="s">
        <v>950</v>
      </c>
      <c r="E46" s="348" t="s">
        <v>621</v>
      </c>
      <c r="F46" s="348" t="s">
        <v>621</v>
      </c>
      <c r="G46" s="348" t="s">
        <v>621</v>
      </c>
      <c r="H46" s="348" t="s">
        <v>621</v>
      </c>
      <c r="I46" s="348" t="s">
        <v>621</v>
      </c>
      <c r="J46" s="348" t="s">
        <v>621</v>
      </c>
      <c r="K46" s="348" t="s">
        <v>621</v>
      </c>
      <c r="L46" s="348" t="s">
        <v>832</v>
      </c>
      <c r="M46" s="348" t="s">
        <v>830</v>
      </c>
      <c r="N46" s="348" t="s">
        <v>830</v>
      </c>
      <c r="O46" s="348" t="s">
        <v>830</v>
      </c>
      <c r="P46" s="400" t="s">
        <v>953</v>
      </c>
      <c r="Q46" s="348" t="s">
        <v>621</v>
      </c>
      <c r="R46" s="348" t="s">
        <v>621</v>
      </c>
      <c r="S46" s="348" t="s">
        <v>621</v>
      </c>
      <c r="T46" s="348" t="s">
        <v>621</v>
      </c>
      <c r="U46" s="348" t="s">
        <v>621</v>
      </c>
      <c r="V46" s="348" t="s">
        <v>621</v>
      </c>
      <c r="W46" s="348" t="s">
        <v>621</v>
      </c>
      <c r="X46" s="348" t="s">
        <v>621</v>
      </c>
      <c r="Y46" s="348" t="s">
        <v>621</v>
      </c>
      <c r="Z46" s="348" t="s">
        <v>621</v>
      </c>
      <c r="AA46" s="348" t="s">
        <v>621</v>
      </c>
      <c r="AB46" s="348" t="s">
        <v>621</v>
      </c>
      <c r="AC46" s="400" t="s">
        <v>952</v>
      </c>
      <c r="AD46" s="348" t="s">
        <v>621</v>
      </c>
      <c r="AE46" s="348" t="s">
        <v>621</v>
      </c>
    </row>
    <row r="47" spans="1:31" s="322" customFormat="1" ht="105" x14ac:dyDescent="0.4">
      <c r="A47" s="702" t="s">
        <v>947</v>
      </c>
      <c r="B47" s="958" t="s">
        <v>948</v>
      </c>
      <c r="C47" s="348" t="s">
        <v>1056</v>
      </c>
      <c r="D47" s="348" t="s">
        <v>950</v>
      </c>
      <c r="E47" s="348" t="s">
        <v>621</v>
      </c>
      <c r="F47" s="348" t="s">
        <v>621</v>
      </c>
      <c r="G47" s="348" t="s">
        <v>621</v>
      </c>
      <c r="H47" s="348" t="s">
        <v>621</v>
      </c>
      <c r="I47" s="348" t="s">
        <v>621</v>
      </c>
      <c r="J47" s="348" t="s">
        <v>621</v>
      </c>
      <c r="K47" s="348" t="s">
        <v>621</v>
      </c>
      <c r="L47" s="348" t="s">
        <v>832</v>
      </c>
      <c r="M47" s="348" t="s">
        <v>830</v>
      </c>
      <c r="N47" s="348" t="s">
        <v>830</v>
      </c>
      <c r="O47" s="348" t="s">
        <v>830</v>
      </c>
      <c r="P47" s="400" t="s">
        <v>953</v>
      </c>
      <c r="Q47" s="348" t="s">
        <v>621</v>
      </c>
      <c r="R47" s="348" t="s">
        <v>621</v>
      </c>
      <c r="S47" s="348" t="s">
        <v>621</v>
      </c>
      <c r="T47" s="348" t="s">
        <v>621</v>
      </c>
      <c r="U47" s="348" t="s">
        <v>621</v>
      </c>
      <c r="V47" s="348" t="s">
        <v>621</v>
      </c>
      <c r="W47" s="348" t="s">
        <v>621</v>
      </c>
      <c r="X47" s="348" t="s">
        <v>621</v>
      </c>
      <c r="Y47" s="348" t="s">
        <v>621</v>
      </c>
      <c r="Z47" s="348" t="s">
        <v>621</v>
      </c>
      <c r="AA47" s="348" t="s">
        <v>621</v>
      </c>
      <c r="AB47" s="348" t="s">
        <v>621</v>
      </c>
      <c r="AC47" s="400" t="s">
        <v>952</v>
      </c>
      <c r="AD47" s="348" t="s">
        <v>621</v>
      </c>
      <c r="AE47" s="348" t="s">
        <v>621</v>
      </c>
    </row>
    <row r="48" spans="1:31" s="287" customFormat="1" ht="105" x14ac:dyDescent="0.4">
      <c r="A48" s="543" t="s">
        <v>547</v>
      </c>
      <c r="B48" s="690" t="s">
        <v>705</v>
      </c>
      <c r="C48" s="708" t="s">
        <v>621</v>
      </c>
      <c r="D48" s="708" t="s">
        <v>621</v>
      </c>
      <c r="E48" s="708" t="s">
        <v>621</v>
      </c>
      <c r="F48" s="708" t="s">
        <v>621</v>
      </c>
      <c r="G48" s="708" t="s">
        <v>621</v>
      </c>
      <c r="H48" s="708" t="s">
        <v>621</v>
      </c>
      <c r="I48" s="708" t="s">
        <v>621</v>
      </c>
      <c r="J48" s="708" t="s">
        <v>621</v>
      </c>
      <c r="K48" s="708" t="s">
        <v>621</v>
      </c>
      <c r="L48" s="708" t="s">
        <v>621</v>
      </c>
      <c r="M48" s="708" t="s">
        <v>621</v>
      </c>
      <c r="N48" s="708" t="s">
        <v>621</v>
      </c>
      <c r="O48" s="708" t="s">
        <v>621</v>
      </c>
      <c r="P48" s="690" t="s">
        <v>621</v>
      </c>
      <c r="Q48" s="708" t="s">
        <v>621</v>
      </c>
      <c r="R48" s="708" t="s">
        <v>621</v>
      </c>
      <c r="S48" s="708" t="s">
        <v>621</v>
      </c>
      <c r="T48" s="708" t="s">
        <v>621</v>
      </c>
      <c r="U48" s="708" t="s">
        <v>621</v>
      </c>
      <c r="V48" s="708" t="s">
        <v>621</v>
      </c>
      <c r="W48" s="708" t="s">
        <v>621</v>
      </c>
      <c r="X48" s="708" t="s">
        <v>621</v>
      </c>
      <c r="Y48" s="708" t="s">
        <v>621</v>
      </c>
      <c r="Z48" s="708" t="s">
        <v>621</v>
      </c>
      <c r="AA48" s="708" t="s">
        <v>621</v>
      </c>
      <c r="AB48" s="708" t="s">
        <v>621</v>
      </c>
      <c r="AC48" s="690" t="s">
        <v>621</v>
      </c>
      <c r="AD48" s="708" t="s">
        <v>621</v>
      </c>
      <c r="AE48" s="708" t="s">
        <v>621</v>
      </c>
    </row>
    <row r="49" spans="1:31" s="287" customFormat="1" ht="78.75" x14ac:dyDescent="0.4">
      <c r="A49" s="709" t="s">
        <v>604</v>
      </c>
      <c r="B49" s="707" t="s">
        <v>707</v>
      </c>
      <c r="C49" s="710" t="s">
        <v>621</v>
      </c>
      <c r="D49" s="710" t="s">
        <v>621</v>
      </c>
      <c r="E49" s="710" t="s">
        <v>621</v>
      </c>
      <c r="F49" s="710" t="s">
        <v>621</v>
      </c>
      <c r="G49" s="710" t="s">
        <v>621</v>
      </c>
      <c r="H49" s="710" t="s">
        <v>621</v>
      </c>
      <c r="I49" s="710" t="s">
        <v>621</v>
      </c>
      <c r="J49" s="710" t="s">
        <v>621</v>
      </c>
      <c r="K49" s="710" t="s">
        <v>621</v>
      </c>
      <c r="L49" s="710" t="s">
        <v>621</v>
      </c>
      <c r="M49" s="710" t="s">
        <v>621</v>
      </c>
      <c r="N49" s="710" t="s">
        <v>621</v>
      </c>
      <c r="O49" s="710" t="s">
        <v>621</v>
      </c>
      <c r="P49" s="707" t="s">
        <v>621</v>
      </c>
      <c r="Q49" s="710" t="s">
        <v>621</v>
      </c>
      <c r="R49" s="710" t="s">
        <v>621</v>
      </c>
      <c r="S49" s="710" t="s">
        <v>621</v>
      </c>
      <c r="T49" s="710" t="s">
        <v>621</v>
      </c>
      <c r="U49" s="710" t="s">
        <v>621</v>
      </c>
      <c r="V49" s="710" t="s">
        <v>621</v>
      </c>
      <c r="W49" s="710" t="s">
        <v>621</v>
      </c>
      <c r="X49" s="710" t="s">
        <v>621</v>
      </c>
      <c r="Y49" s="710" t="s">
        <v>621</v>
      </c>
      <c r="Z49" s="710" t="s">
        <v>621</v>
      </c>
      <c r="AA49" s="710" t="s">
        <v>621</v>
      </c>
      <c r="AB49" s="710" t="s">
        <v>621</v>
      </c>
      <c r="AC49" s="707" t="s">
        <v>621</v>
      </c>
      <c r="AD49" s="710" t="s">
        <v>621</v>
      </c>
      <c r="AE49" s="710" t="s">
        <v>621</v>
      </c>
    </row>
    <row r="50" spans="1:31" s="287" customFormat="1" ht="105" x14ac:dyDescent="0.4">
      <c r="A50" s="380" t="s">
        <v>885</v>
      </c>
      <c r="B50" s="400" t="s">
        <v>860</v>
      </c>
      <c r="C50" s="711" t="s">
        <v>1057</v>
      </c>
      <c r="D50" s="348">
        <v>2020</v>
      </c>
      <c r="E50" s="348" t="s">
        <v>621</v>
      </c>
      <c r="F50" s="348" t="s">
        <v>621</v>
      </c>
      <c r="G50" s="348" t="s">
        <v>621</v>
      </c>
      <c r="H50" s="348" t="s">
        <v>621</v>
      </c>
      <c r="I50" s="348" t="s">
        <v>621</v>
      </c>
      <c r="J50" s="348" t="s">
        <v>621</v>
      </c>
      <c r="K50" s="348" t="s">
        <v>621</v>
      </c>
      <c r="L50" s="348" t="s">
        <v>832</v>
      </c>
      <c r="M50" s="348" t="s">
        <v>830</v>
      </c>
      <c r="N50" s="348" t="s">
        <v>830</v>
      </c>
      <c r="O50" s="348" t="s">
        <v>830</v>
      </c>
      <c r="P50" s="400" t="s">
        <v>860</v>
      </c>
      <c r="Q50" s="348" t="s">
        <v>621</v>
      </c>
      <c r="R50" s="348" t="s">
        <v>621</v>
      </c>
      <c r="S50" s="348" t="s">
        <v>621</v>
      </c>
      <c r="T50" s="348" t="s">
        <v>621</v>
      </c>
      <c r="U50" s="348" t="s">
        <v>621</v>
      </c>
      <c r="V50" s="348" t="s">
        <v>621</v>
      </c>
      <c r="W50" s="348" t="s">
        <v>621</v>
      </c>
      <c r="X50" s="348" t="s">
        <v>621</v>
      </c>
      <c r="Y50" s="348" t="s">
        <v>621</v>
      </c>
      <c r="Z50" s="348" t="s">
        <v>621</v>
      </c>
      <c r="AA50" s="348">
        <v>6</v>
      </c>
      <c r="AB50" s="348">
        <v>6</v>
      </c>
      <c r="AC50" s="400" t="s">
        <v>833</v>
      </c>
      <c r="AD50" s="348" t="s">
        <v>830</v>
      </c>
      <c r="AE50" s="348" t="s">
        <v>830</v>
      </c>
    </row>
    <row r="51" spans="1:31" s="287" customFormat="1" ht="105" x14ac:dyDescent="0.4">
      <c r="A51" s="380" t="s">
        <v>886</v>
      </c>
      <c r="B51" s="400" t="s">
        <v>861</v>
      </c>
      <c r="C51" s="711" t="s">
        <v>1058</v>
      </c>
      <c r="D51" s="348">
        <v>2020</v>
      </c>
      <c r="E51" s="348" t="s">
        <v>621</v>
      </c>
      <c r="F51" s="348" t="s">
        <v>621</v>
      </c>
      <c r="G51" s="348" t="s">
        <v>621</v>
      </c>
      <c r="H51" s="348" t="s">
        <v>621</v>
      </c>
      <c r="I51" s="348" t="s">
        <v>621</v>
      </c>
      <c r="J51" s="348" t="s">
        <v>621</v>
      </c>
      <c r="K51" s="348" t="s">
        <v>621</v>
      </c>
      <c r="L51" s="348" t="s">
        <v>832</v>
      </c>
      <c r="M51" s="348" t="s">
        <v>830</v>
      </c>
      <c r="N51" s="348" t="s">
        <v>830</v>
      </c>
      <c r="O51" s="348" t="s">
        <v>830</v>
      </c>
      <c r="P51" s="400" t="s">
        <v>861</v>
      </c>
      <c r="Q51" s="348" t="s">
        <v>621</v>
      </c>
      <c r="R51" s="348" t="s">
        <v>621</v>
      </c>
      <c r="S51" s="348" t="s">
        <v>621</v>
      </c>
      <c r="T51" s="348" t="s">
        <v>621</v>
      </c>
      <c r="U51" s="348" t="s">
        <v>621</v>
      </c>
      <c r="V51" s="348" t="s">
        <v>621</v>
      </c>
      <c r="W51" s="348" t="s">
        <v>621</v>
      </c>
      <c r="X51" s="348" t="s">
        <v>621</v>
      </c>
      <c r="Y51" s="348" t="s">
        <v>621</v>
      </c>
      <c r="Z51" s="348" t="s">
        <v>621</v>
      </c>
      <c r="AA51" s="348">
        <v>6</v>
      </c>
      <c r="AB51" s="348">
        <v>6</v>
      </c>
      <c r="AC51" s="400" t="s">
        <v>833</v>
      </c>
      <c r="AD51" s="348" t="s">
        <v>830</v>
      </c>
      <c r="AE51" s="348" t="s">
        <v>830</v>
      </c>
    </row>
    <row r="52" spans="1:31" s="287" customFormat="1" ht="105" x14ac:dyDescent="0.4">
      <c r="A52" s="380" t="s">
        <v>887</v>
      </c>
      <c r="B52" s="400" t="s">
        <v>862</v>
      </c>
      <c r="C52" s="711" t="s">
        <v>1059</v>
      </c>
      <c r="D52" s="348">
        <v>2020</v>
      </c>
      <c r="E52" s="348" t="s">
        <v>621</v>
      </c>
      <c r="F52" s="348" t="s">
        <v>621</v>
      </c>
      <c r="G52" s="348" t="s">
        <v>621</v>
      </c>
      <c r="H52" s="348" t="s">
        <v>621</v>
      </c>
      <c r="I52" s="348" t="s">
        <v>621</v>
      </c>
      <c r="J52" s="348" t="s">
        <v>621</v>
      </c>
      <c r="K52" s="348" t="s">
        <v>621</v>
      </c>
      <c r="L52" s="348" t="s">
        <v>832</v>
      </c>
      <c r="M52" s="348" t="s">
        <v>830</v>
      </c>
      <c r="N52" s="348" t="s">
        <v>830</v>
      </c>
      <c r="O52" s="348" t="s">
        <v>830</v>
      </c>
      <c r="P52" s="400" t="s">
        <v>862</v>
      </c>
      <c r="Q52" s="348" t="s">
        <v>621</v>
      </c>
      <c r="R52" s="348" t="s">
        <v>621</v>
      </c>
      <c r="S52" s="348" t="s">
        <v>621</v>
      </c>
      <c r="T52" s="348" t="s">
        <v>621</v>
      </c>
      <c r="U52" s="348" t="s">
        <v>621</v>
      </c>
      <c r="V52" s="348" t="s">
        <v>621</v>
      </c>
      <c r="W52" s="348" t="s">
        <v>621</v>
      </c>
      <c r="X52" s="348" t="s">
        <v>621</v>
      </c>
      <c r="Y52" s="348" t="s">
        <v>621</v>
      </c>
      <c r="Z52" s="348" t="s">
        <v>621</v>
      </c>
      <c r="AA52" s="348">
        <v>6</v>
      </c>
      <c r="AB52" s="348">
        <v>6</v>
      </c>
      <c r="AC52" s="400" t="s">
        <v>833</v>
      </c>
      <c r="AD52" s="348" t="s">
        <v>830</v>
      </c>
      <c r="AE52" s="348" t="s">
        <v>830</v>
      </c>
    </row>
    <row r="53" spans="1:31" s="287" customFormat="1" ht="105" x14ac:dyDescent="0.4">
      <c r="A53" s="380" t="s">
        <v>888</v>
      </c>
      <c r="B53" s="400" t="s">
        <v>866</v>
      </c>
      <c r="C53" s="711" t="s">
        <v>1060</v>
      </c>
      <c r="D53" s="348">
        <v>2021</v>
      </c>
      <c r="E53" s="348" t="s">
        <v>621</v>
      </c>
      <c r="F53" s="348" t="s">
        <v>621</v>
      </c>
      <c r="G53" s="348" t="s">
        <v>621</v>
      </c>
      <c r="H53" s="348" t="s">
        <v>621</v>
      </c>
      <c r="I53" s="348" t="s">
        <v>621</v>
      </c>
      <c r="J53" s="348" t="s">
        <v>621</v>
      </c>
      <c r="K53" s="348" t="s">
        <v>621</v>
      </c>
      <c r="L53" s="348" t="s">
        <v>832</v>
      </c>
      <c r="M53" s="348" t="s">
        <v>830</v>
      </c>
      <c r="N53" s="348" t="s">
        <v>830</v>
      </c>
      <c r="O53" s="348" t="s">
        <v>830</v>
      </c>
      <c r="P53" s="400" t="s">
        <v>866</v>
      </c>
      <c r="Q53" s="348" t="s">
        <v>621</v>
      </c>
      <c r="R53" s="348" t="s">
        <v>621</v>
      </c>
      <c r="S53" s="348" t="s">
        <v>621</v>
      </c>
      <c r="T53" s="348" t="s">
        <v>621</v>
      </c>
      <c r="U53" s="348" t="s">
        <v>621</v>
      </c>
      <c r="V53" s="348" t="s">
        <v>621</v>
      </c>
      <c r="W53" s="348" t="s">
        <v>621</v>
      </c>
      <c r="X53" s="348" t="s">
        <v>621</v>
      </c>
      <c r="Y53" s="348" t="s">
        <v>621</v>
      </c>
      <c r="Z53" s="348" t="s">
        <v>621</v>
      </c>
      <c r="AA53" s="348">
        <v>6</v>
      </c>
      <c r="AB53" s="348">
        <v>6</v>
      </c>
      <c r="AC53" s="400" t="s">
        <v>833</v>
      </c>
      <c r="AD53" s="348" t="s">
        <v>830</v>
      </c>
      <c r="AE53" s="348" t="s">
        <v>830</v>
      </c>
    </row>
    <row r="54" spans="1:31" s="287" customFormat="1" ht="105" x14ac:dyDescent="0.4">
      <c r="A54" s="380" t="s">
        <v>889</v>
      </c>
      <c r="B54" s="400" t="s">
        <v>916</v>
      </c>
      <c r="C54" s="711" t="s">
        <v>1061</v>
      </c>
      <c r="D54" s="348">
        <v>2021</v>
      </c>
      <c r="E54" s="348" t="s">
        <v>621</v>
      </c>
      <c r="F54" s="348" t="s">
        <v>621</v>
      </c>
      <c r="G54" s="348" t="s">
        <v>621</v>
      </c>
      <c r="H54" s="348" t="s">
        <v>621</v>
      </c>
      <c r="I54" s="348" t="s">
        <v>621</v>
      </c>
      <c r="J54" s="348" t="s">
        <v>621</v>
      </c>
      <c r="K54" s="348" t="s">
        <v>621</v>
      </c>
      <c r="L54" s="348" t="s">
        <v>832</v>
      </c>
      <c r="M54" s="348" t="s">
        <v>830</v>
      </c>
      <c r="N54" s="348" t="s">
        <v>830</v>
      </c>
      <c r="O54" s="348" t="s">
        <v>830</v>
      </c>
      <c r="P54" s="400" t="s">
        <v>867</v>
      </c>
      <c r="Q54" s="348" t="s">
        <v>621</v>
      </c>
      <c r="R54" s="348" t="s">
        <v>621</v>
      </c>
      <c r="S54" s="348" t="s">
        <v>621</v>
      </c>
      <c r="T54" s="348" t="s">
        <v>621</v>
      </c>
      <c r="U54" s="348" t="s">
        <v>621</v>
      </c>
      <c r="V54" s="348" t="s">
        <v>621</v>
      </c>
      <c r="W54" s="348" t="s">
        <v>621</v>
      </c>
      <c r="X54" s="348" t="s">
        <v>621</v>
      </c>
      <c r="Y54" s="348" t="s">
        <v>621</v>
      </c>
      <c r="Z54" s="348" t="s">
        <v>621</v>
      </c>
      <c r="AA54" s="348">
        <v>6</v>
      </c>
      <c r="AB54" s="348">
        <v>6</v>
      </c>
      <c r="AC54" s="400" t="s">
        <v>833</v>
      </c>
      <c r="AD54" s="348" t="s">
        <v>830</v>
      </c>
      <c r="AE54" s="348" t="s">
        <v>830</v>
      </c>
    </row>
    <row r="55" spans="1:31" s="287" customFormat="1" ht="105" x14ac:dyDescent="0.4">
      <c r="A55" s="380" t="s">
        <v>890</v>
      </c>
      <c r="B55" s="400" t="s">
        <v>871</v>
      </c>
      <c r="C55" s="711" t="s">
        <v>1062</v>
      </c>
      <c r="D55" s="348">
        <v>2022</v>
      </c>
      <c r="E55" s="348" t="s">
        <v>621</v>
      </c>
      <c r="F55" s="348" t="s">
        <v>621</v>
      </c>
      <c r="G55" s="348" t="s">
        <v>621</v>
      </c>
      <c r="H55" s="348" t="s">
        <v>621</v>
      </c>
      <c r="I55" s="348" t="s">
        <v>621</v>
      </c>
      <c r="J55" s="348" t="s">
        <v>621</v>
      </c>
      <c r="K55" s="348" t="s">
        <v>621</v>
      </c>
      <c r="L55" s="348" t="s">
        <v>832</v>
      </c>
      <c r="M55" s="348" t="s">
        <v>830</v>
      </c>
      <c r="N55" s="348" t="s">
        <v>830</v>
      </c>
      <c r="O55" s="348" t="s">
        <v>830</v>
      </c>
      <c r="P55" s="400" t="s">
        <v>871</v>
      </c>
      <c r="Q55" s="348" t="s">
        <v>621</v>
      </c>
      <c r="R55" s="348" t="s">
        <v>621</v>
      </c>
      <c r="S55" s="348" t="s">
        <v>621</v>
      </c>
      <c r="T55" s="348" t="s">
        <v>621</v>
      </c>
      <c r="U55" s="348" t="s">
        <v>621</v>
      </c>
      <c r="V55" s="348" t="s">
        <v>621</v>
      </c>
      <c r="W55" s="348" t="s">
        <v>621</v>
      </c>
      <c r="X55" s="348" t="s">
        <v>621</v>
      </c>
      <c r="Y55" s="348" t="s">
        <v>621</v>
      </c>
      <c r="Z55" s="348" t="s">
        <v>621</v>
      </c>
      <c r="AA55" s="348">
        <v>6</v>
      </c>
      <c r="AB55" s="348">
        <v>6</v>
      </c>
      <c r="AC55" s="400" t="s">
        <v>833</v>
      </c>
      <c r="AD55" s="348" t="s">
        <v>830</v>
      </c>
      <c r="AE55" s="348" t="s">
        <v>830</v>
      </c>
    </row>
    <row r="56" spans="1:31" s="287" customFormat="1" ht="105" x14ac:dyDescent="0.4">
      <c r="A56" s="380" t="s">
        <v>891</v>
      </c>
      <c r="B56" s="400" t="s">
        <v>872</v>
      </c>
      <c r="C56" s="711" t="s">
        <v>1063</v>
      </c>
      <c r="D56" s="348">
        <v>2022</v>
      </c>
      <c r="E56" s="348" t="s">
        <v>621</v>
      </c>
      <c r="F56" s="348" t="s">
        <v>621</v>
      </c>
      <c r="G56" s="348" t="s">
        <v>621</v>
      </c>
      <c r="H56" s="348" t="s">
        <v>621</v>
      </c>
      <c r="I56" s="348" t="s">
        <v>621</v>
      </c>
      <c r="J56" s="348" t="s">
        <v>621</v>
      </c>
      <c r="K56" s="348" t="s">
        <v>621</v>
      </c>
      <c r="L56" s="348" t="s">
        <v>832</v>
      </c>
      <c r="M56" s="348" t="s">
        <v>830</v>
      </c>
      <c r="N56" s="348" t="s">
        <v>830</v>
      </c>
      <c r="O56" s="348" t="s">
        <v>830</v>
      </c>
      <c r="P56" s="400" t="s">
        <v>872</v>
      </c>
      <c r="Q56" s="348" t="s">
        <v>621</v>
      </c>
      <c r="R56" s="348" t="s">
        <v>621</v>
      </c>
      <c r="S56" s="348" t="s">
        <v>621</v>
      </c>
      <c r="T56" s="348" t="s">
        <v>621</v>
      </c>
      <c r="U56" s="348" t="s">
        <v>621</v>
      </c>
      <c r="V56" s="348" t="s">
        <v>621</v>
      </c>
      <c r="W56" s="348" t="s">
        <v>621</v>
      </c>
      <c r="X56" s="348" t="s">
        <v>621</v>
      </c>
      <c r="Y56" s="348" t="s">
        <v>621</v>
      </c>
      <c r="Z56" s="348" t="s">
        <v>621</v>
      </c>
      <c r="AA56" s="348">
        <v>6</v>
      </c>
      <c r="AB56" s="348">
        <v>6</v>
      </c>
      <c r="AC56" s="400" t="s">
        <v>833</v>
      </c>
      <c r="AD56" s="348" t="s">
        <v>830</v>
      </c>
      <c r="AE56" s="348" t="s">
        <v>830</v>
      </c>
    </row>
    <row r="57" spans="1:31" s="287" customFormat="1" ht="105" x14ac:dyDescent="0.4">
      <c r="A57" s="380" t="s">
        <v>892</v>
      </c>
      <c r="B57" s="400" t="s">
        <v>873</v>
      </c>
      <c r="C57" s="711" t="s">
        <v>1064</v>
      </c>
      <c r="D57" s="348">
        <v>2022</v>
      </c>
      <c r="E57" s="348" t="s">
        <v>621</v>
      </c>
      <c r="F57" s="348" t="s">
        <v>621</v>
      </c>
      <c r="G57" s="348" t="s">
        <v>621</v>
      </c>
      <c r="H57" s="348" t="s">
        <v>621</v>
      </c>
      <c r="I57" s="348" t="s">
        <v>621</v>
      </c>
      <c r="J57" s="348" t="s">
        <v>621</v>
      </c>
      <c r="K57" s="348" t="s">
        <v>621</v>
      </c>
      <c r="L57" s="348" t="s">
        <v>832</v>
      </c>
      <c r="M57" s="348" t="s">
        <v>830</v>
      </c>
      <c r="N57" s="348" t="s">
        <v>830</v>
      </c>
      <c r="O57" s="348" t="s">
        <v>830</v>
      </c>
      <c r="P57" s="400" t="s">
        <v>873</v>
      </c>
      <c r="Q57" s="348" t="s">
        <v>621</v>
      </c>
      <c r="R57" s="348" t="s">
        <v>621</v>
      </c>
      <c r="S57" s="348" t="s">
        <v>621</v>
      </c>
      <c r="T57" s="348" t="s">
        <v>621</v>
      </c>
      <c r="U57" s="348" t="s">
        <v>621</v>
      </c>
      <c r="V57" s="348" t="s">
        <v>621</v>
      </c>
      <c r="W57" s="348" t="s">
        <v>621</v>
      </c>
      <c r="X57" s="348" t="s">
        <v>621</v>
      </c>
      <c r="Y57" s="348" t="s">
        <v>621</v>
      </c>
      <c r="Z57" s="348" t="s">
        <v>621</v>
      </c>
      <c r="AA57" s="348">
        <v>6</v>
      </c>
      <c r="AB57" s="348">
        <v>6</v>
      </c>
      <c r="AC57" s="400" t="s">
        <v>833</v>
      </c>
      <c r="AD57" s="348" t="s">
        <v>830</v>
      </c>
      <c r="AE57" s="348" t="s">
        <v>830</v>
      </c>
    </row>
    <row r="58" spans="1:31" s="287" customFormat="1" ht="105" x14ac:dyDescent="0.4">
      <c r="A58" s="380" t="s">
        <v>893</v>
      </c>
      <c r="B58" s="400" t="s">
        <v>877</v>
      </c>
      <c r="C58" s="711" t="s">
        <v>1065</v>
      </c>
      <c r="D58" s="348">
        <v>2023</v>
      </c>
      <c r="E58" s="348" t="s">
        <v>621</v>
      </c>
      <c r="F58" s="348" t="s">
        <v>621</v>
      </c>
      <c r="G58" s="348" t="s">
        <v>621</v>
      </c>
      <c r="H58" s="348" t="s">
        <v>621</v>
      </c>
      <c r="I58" s="348" t="s">
        <v>621</v>
      </c>
      <c r="J58" s="348" t="s">
        <v>621</v>
      </c>
      <c r="K58" s="348" t="s">
        <v>621</v>
      </c>
      <c r="L58" s="348" t="s">
        <v>832</v>
      </c>
      <c r="M58" s="348" t="s">
        <v>830</v>
      </c>
      <c r="N58" s="348" t="s">
        <v>830</v>
      </c>
      <c r="O58" s="348" t="s">
        <v>830</v>
      </c>
      <c r="P58" s="400" t="s">
        <v>877</v>
      </c>
      <c r="Q58" s="348" t="s">
        <v>621</v>
      </c>
      <c r="R58" s="348" t="s">
        <v>621</v>
      </c>
      <c r="S58" s="348" t="s">
        <v>621</v>
      </c>
      <c r="T58" s="348" t="s">
        <v>621</v>
      </c>
      <c r="U58" s="348" t="s">
        <v>621</v>
      </c>
      <c r="V58" s="348" t="s">
        <v>621</v>
      </c>
      <c r="W58" s="348" t="s">
        <v>621</v>
      </c>
      <c r="X58" s="348" t="s">
        <v>621</v>
      </c>
      <c r="Y58" s="348" t="s">
        <v>621</v>
      </c>
      <c r="Z58" s="348" t="s">
        <v>621</v>
      </c>
      <c r="AA58" s="348">
        <v>6</v>
      </c>
      <c r="AB58" s="348">
        <v>6</v>
      </c>
      <c r="AC58" s="400" t="s">
        <v>833</v>
      </c>
      <c r="AD58" s="348" t="s">
        <v>830</v>
      </c>
      <c r="AE58" s="348" t="s">
        <v>830</v>
      </c>
    </row>
    <row r="59" spans="1:31" s="287" customFormat="1" ht="105" x14ac:dyDescent="0.4">
      <c r="A59" s="380" t="s">
        <v>894</v>
      </c>
      <c r="B59" s="400" t="s">
        <v>878</v>
      </c>
      <c r="C59" s="711" t="s">
        <v>1066</v>
      </c>
      <c r="D59" s="348">
        <v>2023</v>
      </c>
      <c r="E59" s="348" t="s">
        <v>621</v>
      </c>
      <c r="F59" s="348" t="s">
        <v>621</v>
      </c>
      <c r="G59" s="348" t="s">
        <v>621</v>
      </c>
      <c r="H59" s="348" t="s">
        <v>621</v>
      </c>
      <c r="I59" s="348" t="s">
        <v>621</v>
      </c>
      <c r="J59" s="348" t="s">
        <v>621</v>
      </c>
      <c r="K59" s="348" t="s">
        <v>621</v>
      </c>
      <c r="L59" s="348" t="s">
        <v>832</v>
      </c>
      <c r="M59" s="348" t="s">
        <v>830</v>
      </c>
      <c r="N59" s="348" t="s">
        <v>830</v>
      </c>
      <c r="O59" s="348" t="s">
        <v>830</v>
      </c>
      <c r="P59" s="400" t="s">
        <v>878</v>
      </c>
      <c r="Q59" s="348" t="s">
        <v>621</v>
      </c>
      <c r="R59" s="348" t="s">
        <v>621</v>
      </c>
      <c r="S59" s="348" t="s">
        <v>621</v>
      </c>
      <c r="T59" s="348" t="s">
        <v>621</v>
      </c>
      <c r="U59" s="348" t="s">
        <v>621</v>
      </c>
      <c r="V59" s="348" t="s">
        <v>621</v>
      </c>
      <c r="W59" s="348" t="s">
        <v>621</v>
      </c>
      <c r="X59" s="348" t="s">
        <v>621</v>
      </c>
      <c r="Y59" s="348" t="s">
        <v>621</v>
      </c>
      <c r="Z59" s="348" t="s">
        <v>621</v>
      </c>
      <c r="AA59" s="348">
        <v>6</v>
      </c>
      <c r="AB59" s="348">
        <v>6</v>
      </c>
      <c r="AC59" s="400" t="s">
        <v>833</v>
      </c>
      <c r="AD59" s="348" t="s">
        <v>830</v>
      </c>
      <c r="AE59" s="348" t="s">
        <v>830</v>
      </c>
    </row>
    <row r="60" spans="1:31" s="287" customFormat="1" ht="105" x14ac:dyDescent="0.4">
      <c r="A60" s="380" t="s">
        <v>895</v>
      </c>
      <c r="B60" s="400" t="s">
        <v>879</v>
      </c>
      <c r="C60" s="711" t="s">
        <v>1067</v>
      </c>
      <c r="D60" s="348">
        <v>2023</v>
      </c>
      <c r="E60" s="348" t="s">
        <v>621</v>
      </c>
      <c r="F60" s="348" t="s">
        <v>621</v>
      </c>
      <c r="G60" s="348" t="s">
        <v>621</v>
      </c>
      <c r="H60" s="348" t="s">
        <v>621</v>
      </c>
      <c r="I60" s="348" t="s">
        <v>621</v>
      </c>
      <c r="J60" s="348" t="s">
        <v>621</v>
      </c>
      <c r="K60" s="348" t="s">
        <v>621</v>
      </c>
      <c r="L60" s="348" t="s">
        <v>832</v>
      </c>
      <c r="M60" s="348" t="s">
        <v>830</v>
      </c>
      <c r="N60" s="348" t="s">
        <v>830</v>
      </c>
      <c r="O60" s="348" t="s">
        <v>830</v>
      </c>
      <c r="P60" s="400" t="s">
        <v>879</v>
      </c>
      <c r="Q60" s="348" t="s">
        <v>621</v>
      </c>
      <c r="R60" s="348" t="s">
        <v>621</v>
      </c>
      <c r="S60" s="348" t="s">
        <v>621</v>
      </c>
      <c r="T60" s="348" t="s">
        <v>621</v>
      </c>
      <c r="U60" s="348" t="s">
        <v>621</v>
      </c>
      <c r="V60" s="348" t="s">
        <v>621</v>
      </c>
      <c r="W60" s="348" t="s">
        <v>621</v>
      </c>
      <c r="X60" s="348" t="s">
        <v>621</v>
      </c>
      <c r="Y60" s="348" t="s">
        <v>621</v>
      </c>
      <c r="Z60" s="348" t="s">
        <v>621</v>
      </c>
      <c r="AA60" s="348">
        <v>6</v>
      </c>
      <c r="AB60" s="348">
        <v>6</v>
      </c>
      <c r="AC60" s="400" t="s">
        <v>833</v>
      </c>
      <c r="AD60" s="348" t="s">
        <v>830</v>
      </c>
      <c r="AE60" s="348" t="s">
        <v>830</v>
      </c>
    </row>
    <row r="61" spans="1:31" s="287" customFormat="1" ht="105" x14ac:dyDescent="0.4">
      <c r="A61" s="380" t="s">
        <v>896</v>
      </c>
      <c r="B61" s="400" t="s">
        <v>880</v>
      </c>
      <c r="C61" s="711" t="s">
        <v>1068</v>
      </c>
      <c r="D61" s="348">
        <v>2023</v>
      </c>
      <c r="E61" s="348" t="s">
        <v>621</v>
      </c>
      <c r="F61" s="348" t="s">
        <v>621</v>
      </c>
      <c r="G61" s="348" t="s">
        <v>621</v>
      </c>
      <c r="H61" s="348" t="s">
        <v>621</v>
      </c>
      <c r="I61" s="348" t="s">
        <v>621</v>
      </c>
      <c r="J61" s="348" t="s">
        <v>621</v>
      </c>
      <c r="K61" s="348" t="s">
        <v>621</v>
      </c>
      <c r="L61" s="348" t="s">
        <v>832</v>
      </c>
      <c r="M61" s="348" t="s">
        <v>830</v>
      </c>
      <c r="N61" s="348" t="s">
        <v>830</v>
      </c>
      <c r="O61" s="348" t="s">
        <v>830</v>
      </c>
      <c r="P61" s="400" t="s">
        <v>880</v>
      </c>
      <c r="Q61" s="348" t="s">
        <v>621</v>
      </c>
      <c r="R61" s="348" t="s">
        <v>621</v>
      </c>
      <c r="S61" s="348" t="s">
        <v>621</v>
      </c>
      <c r="T61" s="348" t="s">
        <v>621</v>
      </c>
      <c r="U61" s="348" t="s">
        <v>621</v>
      </c>
      <c r="V61" s="348" t="s">
        <v>621</v>
      </c>
      <c r="W61" s="348" t="s">
        <v>621</v>
      </c>
      <c r="X61" s="348" t="s">
        <v>621</v>
      </c>
      <c r="Y61" s="348" t="s">
        <v>621</v>
      </c>
      <c r="Z61" s="348" t="s">
        <v>621</v>
      </c>
      <c r="AA61" s="348">
        <v>6</v>
      </c>
      <c r="AB61" s="348">
        <v>6</v>
      </c>
      <c r="AC61" s="400" t="s">
        <v>833</v>
      </c>
      <c r="AD61" s="348" t="s">
        <v>830</v>
      </c>
      <c r="AE61" s="348" t="s">
        <v>830</v>
      </c>
    </row>
    <row r="62" spans="1:31" s="287" customFormat="1" ht="105" x14ac:dyDescent="0.4">
      <c r="A62" s="380" t="s">
        <v>897</v>
      </c>
      <c r="B62" s="400" t="s">
        <v>881</v>
      </c>
      <c r="C62" s="711" t="s">
        <v>1069</v>
      </c>
      <c r="D62" s="348">
        <v>2023</v>
      </c>
      <c r="E62" s="348" t="s">
        <v>621</v>
      </c>
      <c r="F62" s="348" t="s">
        <v>621</v>
      </c>
      <c r="G62" s="348" t="s">
        <v>621</v>
      </c>
      <c r="H62" s="348" t="s">
        <v>621</v>
      </c>
      <c r="I62" s="348" t="s">
        <v>621</v>
      </c>
      <c r="J62" s="348" t="s">
        <v>621</v>
      </c>
      <c r="K62" s="348" t="s">
        <v>621</v>
      </c>
      <c r="L62" s="348" t="s">
        <v>832</v>
      </c>
      <c r="M62" s="348" t="s">
        <v>830</v>
      </c>
      <c r="N62" s="348" t="s">
        <v>830</v>
      </c>
      <c r="O62" s="348" t="s">
        <v>830</v>
      </c>
      <c r="P62" s="400" t="s">
        <v>881</v>
      </c>
      <c r="Q62" s="348" t="s">
        <v>621</v>
      </c>
      <c r="R62" s="348" t="s">
        <v>621</v>
      </c>
      <c r="S62" s="348" t="s">
        <v>621</v>
      </c>
      <c r="T62" s="348" t="s">
        <v>621</v>
      </c>
      <c r="U62" s="348" t="s">
        <v>621</v>
      </c>
      <c r="V62" s="348" t="s">
        <v>621</v>
      </c>
      <c r="W62" s="348" t="s">
        <v>621</v>
      </c>
      <c r="X62" s="348" t="s">
        <v>621</v>
      </c>
      <c r="Y62" s="348" t="s">
        <v>621</v>
      </c>
      <c r="Z62" s="348" t="s">
        <v>621</v>
      </c>
      <c r="AA62" s="348">
        <v>6</v>
      </c>
      <c r="AB62" s="348">
        <v>6</v>
      </c>
      <c r="AC62" s="400" t="s">
        <v>833</v>
      </c>
      <c r="AD62" s="348" t="s">
        <v>830</v>
      </c>
      <c r="AE62" s="348" t="s">
        <v>830</v>
      </c>
    </row>
    <row r="63" spans="1:31" s="287" customFormat="1" ht="105" x14ac:dyDescent="0.4">
      <c r="A63" s="380" t="s">
        <v>898</v>
      </c>
      <c r="B63" s="400" t="s">
        <v>882</v>
      </c>
      <c r="C63" s="711" t="s">
        <v>1070</v>
      </c>
      <c r="D63" s="348">
        <v>2023</v>
      </c>
      <c r="E63" s="348" t="s">
        <v>621</v>
      </c>
      <c r="F63" s="348" t="s">
        <v>621</v>
      </c>
      <c r="G63" s="348" t="s">
        <v>621</v>
      </c>
      <c r="H63" s="348" t="s">
        <v>621</v>
      </c>
      <c r="I63" s="348" t="s">
        <v>621</v>
      </c>
      <c r="J63" s="348" t="s">
        <v>621</v>
      </c>
      <c r="K63" s="348" t="s">
        <v>621</v>
      </c>
      <c r="L63" s="348" t="s">
        <v>832</v>
      </c>
      <c r="M63" s="348" t="s">
        <v>830</v>
      </c>
      <c r="N63" s="348" t="s">
        <v>830</v>
      </c>
      <c r="O63" s="348" t="s">
        <v>830</v>
      </c>
      <c r="P63" s="400" t="s">
        <v>882</v>
      </c>
      <c r="Q63" s="348" t="s">
        <v>621</v>
      </c>
      <c r="R63" s="348" t="s">
        <v>621</v>
      </c>
      <c r="S63" s="348" t="s">
        <v>621</v>
      </c>
      <c r="T63" s="348" t="s">
        <v>621</v>
      </c>
      <c r="U63" s="348" t="s">
        <v>621</v>
      </c>
      <c r="V63" s="348" t="s">
        <v>621</v>
      </c>
      <c r="W63" s="348" t="s">
        <v>621</v>
      </c>
      <c r="X63" s="348" t="s">
        <v>621</v>
      </c>
      <c r="Y63" s="348" t="s">
        <v>621</v>
      </c>
      <c r="Z63" s="348" t="s">
        <v>621</v>
      </c>
      <c r="AA63" s="348">
        <v>6</v>
      </c>
      <c r="AB63" s="348">
        <v>6</v>
      </c>
      <c r="AC63" s="400" t="s">
        <v>833</v>
      </c>
      <c r="AD63" s="348" t="s">
        <v>830</v>
      </c>
      <c r="AE63" s="348" t="s">
        <v>830</v>
      </c>
    </row>
    <row r="64" spans="1:31" s="322" customFormat="1" ht="105" x14ac:dyDescent="0.4">
      <c r="A64" s="380" t="s">
        <v>899</v>
      </c>
      <c r="B64" s="400" t="s">
        <v>883</v>
      </c>
      <c r="C64" s="711" t="s">
        <v>1071</v>
      </c>
      <c r="D64" s="348">
        <v>2023</v>
      </c>
      <c r="E64" s="348" t="s">
        <v>621</v>
      </c>
      <c r="F64" s="348" t="s">
        <v>621</v>
      </c>
      <c r="G64" s="348" t="s">
        <v>621</v>
      </c>
      <c r="H64" s="348" t="s">
        <v>621</v>
      </c>
      <c r="I64" s="348" t="s">
        <v>621</v>
      </c>
      <c r="J64" s="348" t="s">
        <v>621</v>
      </c>
      <c r="K64" s="348" t="s">
        <v>621</v>
      </c>
      <c r="L64" s="348" t="s">
        <v>832</v>
      </c>
      <c r="M64" s="348" t="s">
        <v>830</v>
      </c>
      <c r="N64" s="348" t="s">
        <v>830</v>
      </c>
      <c r="O64" s="348" t="s">
        <v>830</v>
      </c>
      <c r="P64" s="400" t="s">
        <v>883</v>
      </c>
      <c r="Q64" s="348" t="s">
        <v>621</v>
      </c>
      <c r="R64" s="348" t="s">
        <v>621</v>
      </c>
      <c r="S64" s="348" t="s">
        <v>621</v>
      </c>
      <c r="T64" s="348" t="s">
        <v>621</v>
      </c>
      <c r="U64" s="348" t="s">
        <v>621</v>
      </c>
      <c r="V64" s="348" t="s">
        <v>621</v>
      </c>
      <c r="W64" s="348" t="s">
        <v>621</v>
      </c>
      <c r="X64" s="348" t="s">
        <v>621</v>
      </c>
      <c r="Y64" s="348" t="s">
        <v>621</v>
      </c>
      <c r="Z64" s="348" t="s">
        <v>621</v>
      </c>
      <c r="AA64" s="348">
        <v>6</v>
      </c>
      <c r="AB64" s="348">
        <v>6</v>
      </c>
      <c r="AC64" s="400" t="s">
        <v>833</v>
      </c>
      <c r="AD64" s="348" t="s">
        <v>830</v>
      </c>
      <c r="AE64" s="348" t="s">
        <v>830</v>
      </c>
    </row>
    <row r="65" spans="1:31" ht="105" x14ac:dyDescent="0.3">
      <c r="A65" s="380" t="s">
        <v>900</v>
      </c>
      <c r="B65" s="400" t="s">
        <v>902</v>
      </c>
      <c r="C65" s="711" t="s">
        <v>1072</v>
      </c>
      <c r="D65" s="348">
        <v>2024</v>
      </c>
      <c r="E65" s="348" t="s">
        <v>621</v>
      </c>
      <c r="F65" s="348" t="s">
        <v>621</v>
      </c>
      <c r="G65" s="348" t="s">
        <v>621</v>
      </c>
      <c r="H65" s="348" t="s">
        <v>621</v>
      </c>
      <c r="I65" s="348" t="s">
        <v>621</v>
      </c>
      <c r="J65" s="348" t="s">
        <v>621</v>
      </c>
      <c r="K65" s="348" t="s">
        <v>621</v>
      </c>
      <c r="L65" s="348" t="s">
        <v>832</v>
      </c>
      <c r="M65" s="348" t="s">
        <v>830</v>
      </c>
      <c r="N65" s="348" t="s">
        <v>830</v>
      </c>
      <c r="O65" s="348" t="s">
        <v>830</v>
      </c>
      <c r="P65" s="400" t="s">
        <v>902</v>
      </c>
      <c r="Q65" s="348" t="s">
        <v>621</v>
      </c>
      <c r="R65" s="348" t="s">
        <v>621</v>
      </c>
      <c r="S65" s="348" t="s">
        <v>621</v>
      </c>
      <c r="T65" s="348" t="s">
        <v>621</v>
      </c>
      <c r="U65" s="348" t="s">
        <v>621</v>
      </c>
      <c r="V65" s="348" t="s">
        <v>621</v>
      </c>
      <c r="W65" s="348" t="s">
        <v>621</v>
      </c>
      <c r="X65" s="348" t="s">
        <v>621</v>
      </c>
      <c r="Y65" s="348" t="s">
        <v>621</v>
      </c>
      <c r="Z65" s="348" t="s">
        <v>621</v>
      </c>
      <c r="AA65" s="348">
        <v>6</v>
      </c>
      <c r="AB65" s="348">
        <v>6</v>
      </c>
      <c r="AC65" s="400" t="s">
        <v>833</v>
      </c>
      <c r="AD65" s="348" t="s">
        <v>830</v>
      </c>
      <c r="AE65" s="348" t="s">
        <v>830</v>
      </c>
    </row>
    <row r="66" spans="1:31" ht="105" x14ac:dyDescent="0.3">
      <c r="A66" s="380" t="s">
        <v>919</v>
      </c>
      <c r="B66" s="400" t="s">
        <v>917</v>
      </c>
      <c r="C66" s="711" t="s">
        <v>1073</v>
      </c>
      <c r="D66" s="348">
        <v>2024</v>
      </c>
      <c r="E66" s="348" t="s">
        <v>621</v>
      </c>
      <c r="F66" s="348" t="s">
        <v>621</v>
      </c>
      <c r="G66" s="348" t="s">
        <v>621</v>
      </c>
      <c r="H66" s="348" t="s">
        <v>621</v>
      </c>
      <c r="I66" s="348" t="s">
        <v>621</v>
      </c>
      <c r="J66" s="348" t="s">
        <v>621</v>
      </c>
      <c r="K66" s="348" t="s">
        <v>621</v>
      </c>
      <c r="L66" s="348" t="s">
        <v>832</v>
      </c>
      <c r="M66" s="348" t="s">
        <v>830</v>
      </c>
      <c r="N66" s="348" t="s">
        <v>830</v>
      </c>
      <c r="O66" s="348" t="s">
        <v>830</v>
      </c>
      <c r="P66" s="400" t="s">
        <v>917</v>
      </c>
      <c r="Q66" s="348" t="s">
        <v>621</v>
      </c>
      <c r="R66" s="348" t="s">
        <v>621</v>
      </c>
      <c r="S66" s="348" t="s">
        <v>621</v>
      </c>
      <c r="T66" s="348" t="s">
        <v>621</v>
      </c>
      <c r="U66" s="348" t="s">
        <v>621</v>
      </c>
      <c r="V66" s="348" t="s">
        <v>621</v>
      </c>
      <c r="W66" s="348" t="s">
        <v>621</v>
      </c>
      <c r="X66" s="348" t="s">
        <v>621</v>
      </c>
      <c r="Y66" s="348" t="s">
        <v>621</v>
      </c>
      <c r="Z66" s="348" t="s">
        <v>621</v>
      </c>
      <c r="AA66" s="348">
        <v>6</v>
      </c>
      <c r="AB66" s="348">
        <v>6</v>
      </c>
      <c r="AC66" s="400" t="s">
        <v>833</v>
      </c>
      <c r="AD66" s="348" t="s">
        <v>830</v>
      </c>
      <c r="AE66" s="348" t="s">
        <v>830</v>
      </c>
    </row>
    <row r="67" spans="1:31" ht="52.5" customHeight="1" x14ac:dyDescent="0.3">
      <c r="A67" s="380" t="s">
        <v>920</v>
      </c>
      <c r="B67" s="400" t="s">
        <v>1717</v>
      </c>
      <c r="C67" s="711" t="s">
        <v>1735</v>
      </c>
      <c r="D67" s="348">
        <v>2022</v>
      </c>
      <c r="E67" s="348" t="s">
        <v>621</v>
      </c>
      <c r="F67" s="348" t="s">
        <v>621</v>
      </c>
      <c r="G67" s="348" t="s">
        <v>621</v>
      </c>
      <c r="H67" s="348" t="s">
        <v>621</v>
      </c>
      <c r="I67" s="348" t="s">
        <v>621</v>
      </c>
      <c r="J67" s="348" t="s">
        <v>621</v>
      </c>
      <c r="K67" s="348" t="s">
        <v>621</v>
      </c>
      <c r="L67" s="348" t="s">
        <v>832</v>
      </c>
      <c r="M67" s="348" t="s">
        <v>830</v>
      </c>
      <c r="N67" s="348" t="s">
        <v>830</v>
      </c>
      <c r="O67" s="348" t="s">
        <v>830</v>
      </c>
      <c r="P67" s="400" t="s">
        <v>1741</v>
      </c>
      <c r="Q67" s="348" t="s">
        <v>621</v>
      </c>
      <c r="R67" s="348" t="s">
        <v>621</v>
      </c>
      <c r="S67" s="348" t="s">
        <v>621</v>
      </c>
      <c r="T67" s="348" t="s">
        <v>621</v>
      </c>
      <c r="U67" s="348" t="s">
        <v>621</v>
      </c>
      <c r="V67" s="348" t="s">
        <v>621</v>
      </c>
      <c r="W67" s="348" t="s">
        <v>621</v>
      </c>
      <c r="X67" s="348" t="s">
        <v>621</v>
      </c>
      <c r="Y67" s="348" t="s">
        <v>621</v>
      </c>
      <c r="Z67" s="348" t="s">
        <v>621</v>
      </c>
      <c r="AA67" s="348">
        <v>6</v>
      </c>
      <c r="AB67" s="348">
        <v>6</v>
      </c>
      <c r="AC67" s="400" t="s">
        <v>833</v>
      </c>
      <c r="AD67" s="348" t="s">
        <v>830</v>
      </c>
      <c r="AE67" s="348" t="s">
        <v>830</v>
      </c>
    </row>
    <row r="68" spans="1:31" ht="52.5" customHeight="1" x14ac:dyDescent="0.3">
      <c r="A68" s="380" t="s">
        <v>921</v>
      </c>
      <c r="B68" s="400" t="s">
        <v>1718</v>
      </c>
      <c r="C68" s="711" t="s">
        <v>1731</v>
      </c>
      <c r="D68" s="348">
        <v>2022</v>
      </c>
      <c r="E68" s="348" t="s">
        <v>621</v>
      </c>
      <c r="F68" s="348" t="s">
        <v>621</v>
      </c>
      <c r="G68" s="348" t="s">
        <v>621</v>
      </c>
      <c r="H68" s="348" t="s">
        <v>621</v>
      </c>
      <c r="I68" s="348" t="s">
        <v>621</v>
      </c>
      <c r="J68" s="348" t="s">
        <v>621</v>
      </c>
      <c r="K68" s="348" t="s">
        <v>621</v>
      </c>
      <c r="L68" s="348" t="s">
        <v>832</v>
      </c>
      <c r="M68" s="348" t="s">
        <v>830</v>
      </c>
      <c r="N68" s="348" t="s">
        <v>830</v>
      </c>
      <c r="O68" s="348" t="s">
        <v>830</v>
      </c>
      <c r="P68" s="400" t="s">
        <v>1742</v>
      </c>
      <c r="Q68" s="348" t="s">
        <v>621</v>
      </c>
      <c r="R68" s="348" t="s">
        <v>621</v>
      </c>
      <c r="S68" s="348" t="s">
        <v>621</v>
      </c>
      <c r="T68" s="348" t="s">
        <v>621</v>
      </c>
      <c r="U68" s="348" t="s">
        <v>621</v>
      </c>
      <c r="V68" s="348" t="s">
        <v>621</v>
      </c>
      <c r="W68" s="348" t="s">
        <v>621</v>
      </c>
      <c r="X68" s="348" t="s">
        <v>621</v>
      </c>
      <c r="Y68" s="348" t="s">
        <v>621</v>
      </c>
      <c r="Z68" s="348" t="s">
        <v>621</v>
      </c>
      <c r="AA68" s="348">
        <v>6</v>
      </c>
      <c r="AB68" s="348">
        <v>6</v>
      </c>
      <c r="AC68" s="400" t="s">
        <v>833</v>
      </c>
      <c r="AD68" s="348" t="s">
        <v>830</v>
      </c>
      <c r="AE68" s="348" t="s">
        <v>830</v>
      </c>
    </row>
    <row r="69" spans="1:31" s="288" customFormat="1" ht="66" customHeight="1" x14ac:dyDescent="0.45">
      <c r="A69" s="386" t="s">
        <v>741</v>
      </c>
      <c r="B69" s="376" t="s">
        <v>1653</v>
      </c>
      <c r="C69" s="299" t="s">
        <v>621</v>
      </c>
      <c r="D69" s="299" t="s">
        <v>621</v>
      </c>
      <c r="E69" s="299" t="s">
        <v>621</v>
      </c>
      <c r="F69" s="299" t="s">
        <v>621</v>
      </c>
      <c r="G69" s="299" t="s">
        <v>621</v>
      </c>
      <c r="H69" s="299" t="s">
        <v>621</v>
      </c>
      <c r="I69" s="299" t="s">
        <v>621</v>
      </c>
      <c r="J69" s="299" t="s">
        <v>621</v>
      </c>
      <c r="K69" s="299" t="s">
        <v>621</v>
      </c>
      <c r="L69" s="299" t="s">
        <v>621</v>
      </c>
      <c r="M69" s="299" t="s">
        <v>621</v>
      </c>
      <c r="N69" s="299" t="s">
        <v>621</v>
      </c>
      <c r="O69" s="299" t="s">
        <v>621</v>
      </c>
      <c r="P69" s="299" t="s">
        <v>621</v>
      </c>
      <c r="Q69" s="299" t="s">
        <v>621</v>
      </c>
      <c r="R69" s="299" t="s">
        <v>621</v>
      </c>
      <c r="S69" s="299" t="s">
        <v>621</v>
      </c>
      <c r="T69" s="299" t="s">
        <v>621</v>
      </c>
      <c r="U69" s="299" t="s">
        <v>621</v>
      </c>
      <c r="V69" s="299" t="s">
        <v>621</v>
      </c>
      <c r="W69" s="299" t="s">
        <v>621</v>
      </c>
      <c r="X69" s="299" t="s">
        <v>621</v>
      </c>
      <c r="Y69" s="299" t="s">
        <v>621</v>
      </c>
      <c r="Z69" s="299" t="s">
        <v>621</v>
      </c>
      <c r="AA69" s="299" t="s">
        <v>621</v>
      </c>
      <c r="AB69" s="299" t="s">
        <v>621</v>
      </c>
      <c r="AC69" s="299" t="s">
        <v>621</v>
      </c>
      <c r="AD69" s="348" t="s">
        <v>621</v>
      </c>
      <c r="AE69" s="348" t="s">
        <v>621</v>
      </c>
    </row>
    <row r="70" spans="1:31" s="288" customFormat="1" ht="168" customHeight="1" x14ac:dyDescent="0.45">
      <c r="A70" s="380" t="s">
        <v>741</v>
      </c>
      <c r="B70" s="666" t="s">
        <v>1654</v>
      </c>
      <c r="C70" s="667" t="str">
        <f>CONCATENATE("J","_",2021,"_",A70)</f>
        <v>J_2021_1.6</v>
      </c>
      <c r="D70" s="348">
        <v>2021</v>
      </c>
      <c r="E70" s="348" t="s">
        <v>621</v>
      </c>
      <c r="F70" s="348" t="s">
        <v>621</v>
      </c>
      <c r="G70" s="348" t="s">
        <v>621</v>
      </c>
      <c r="H70" s="348" t="s">
        <v>621</v>
      </c>
      <c r="I70" s="348" t="s">
        <v>621</v>
      </c>
      <c r="J70" s="348" t="s">
        <v>621</v>
      </c>
      <c r="K70" s="348" t="s">
        <v>621</v>
      </c>
      <c r="L70" s="348" t="s">
        <v>621</v>
      </c>
      <c r="M70" s="348" t="s">
        <v>621</v>
      </c>
      <c r="N70" s="348" t="s">
        <v>621</v>
      </c>
      <c r="O70" s="348" t="s">
        <v>621</v>
      </c>
      <c r="P70" s="348" t="s">
        <v>830</v>
      </c>
      <c r="Q70" s="348" t="s">
        <v>621</v>
      </c>
      <c r="R70" s="348" t="s">
        <v>621</v>
      </c>
      <c r="S70" s="348" t="s">
        <v>621</v>
      </c>
      <c r="T70" s="348" t="s">
        <v>621</v>
      </c>
      <c r="U70" s="348" t="s">
        <v>621</v>
      </c>
      <c r="V70" s="348" t="s">
        <v>621</v>
      </c>
      <c r="W70" s="348" t="s">
        <v>621</v>
      </c>
      <c r="X70" s="348" t="s">
        <v>621</v>
      </c>
      <c r="Y70" s="348" t="s">
        <v>621</v>
      </c>
      <c r="Z70" s="348" t="s">
        <v>621</v>
      </c>
      <c r="AA70" s="348" t="s">
        <v>621</v>
      </c>
      <c r="AB70" s="348" t="s">
        <v>621</v>
      </c>
      <c r="AC70" s="400" t="s">
        <v>1658</v>
      </c>
      <c r="AD70" s="348" t="s">
        <v>830</v>
      </c>
      <c r="AE70" s="348" t="s">
        <v>830</v>
      </c>
    </row>
    <row r="72" spans="1:31" ht="198" customHeight="1" x14ac:dyDescent="0.45">
      <c r="A72" s="288"/>
      <c r="B72" s="237" t="s">
        <v>1743</v>
      </c>
      <c r="C72" s="237"/>
      <c r="D72" s="237"/>
      <c r="E72" s="237"/>
      <c r="F72" s="237"/>
      <c r="G72" s="237"/>
      <c r="H72" s="288"/>
      <c r="I72" s="237"/>
      <c r="J72" s="288"/>
      <c r="K72" s="288"/>
      <c r="L72" s="288"/>
      <c r="M72" s="288"/>
      <c r="N72" s="237" t="s">
        <v>1652</v>
      </c>
      <c r="O72" s="288"/>
      <c r="P72" s="288"/>
      <c r="Q72" s="289"/>
      <c r="R72" s="289"/>
      <c r="S72" s="289"/>
      <c r="T72" s="290"/>
      <c r="U72" s="290"/>
      <c r="V72" s="290"/>
      <c r="W72" s="290"/>
      <c r="X72" s="290"/>
      <c r="Y72" s="288"/>
      <c r="Z72" s="288"/>
      <c r="AA72" s="288"/>
      <c r="AB72" s="288"/>
      <c r="AC72" s="288"/>
      <c r="AD72" s="288"/>
      <c r="AE72" s="288"/>
    </row>
  </sheetData>
  <mergeCells count="33">
    <mergeCell ref="AD11:AE12"/>
    <mergeCell ref="AC11:AC13"/>
    <mergeCell ref="F11:F13"/>
    <mergeCell ref="S11:S13"/>
    <mergeCell ref="A11:A13"/>
    <mergeCell ref="B11:B13"/>
    <mergeCell ref="C11:C13"/>
    <mergeCell ref="E11:E13"/>
    <mergeCell ref="D11:D13"/>
    <mergeCell ref="H12:H13"/>
    <mergeCell ref="I12:I13"/>
    <mergeCell ref="G11:G13"/>
    <mergeCell ref="A8:N8"/>
    <mergeCell ref="A9:N9"/>
    <mergeCell ref="A6:N6"/>
    <mergeCell ref="A7:N7"/>
    <mergeCell ref="Q11:R12"/>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s>
  <pageMargins left="0.70866141732283472" right="0.31496062992125984" top="0.15748031496062992" bottom="0.15748031496062992" header="0.31496062992125984" footer="0.31496062992125984"/>
  <pageSetup paperSize="8" scale="27" fitToWidth="2" orientation="landscape" r:id="rId1"/>
  <headerFooter differentFirst="1">
    <oddHeader>&amp;C&amp;P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C79"/>
  <sheetViews>
    <sheetView tabSelected="1" view="pageBreakPreview" topLeftCell="A46" zoomScale="50" zoomScaleNormal="70" zoomScaleSheetLayoutView="50" workbookViewId="0">
      <selection activeCell="G47" sqref="G47"/>
    </sheetView>
  </sheetViews>
  <sheetFormatPr defaultRowHeight="20.25" x14ac:dyDescent="0.3"/>
  <cols>
    <col min="1" max="1" width="18.75" style="210" customWidth="1"/>
    <col min="2" max="2" width="100.5" style="211" customWidth="1"/>
    <col min="3" max="3" width="29.875" style="211" customWidth="1"/>
    <col min="4" max="4" width="20.125" style="211" customWidth="1"/>
    <col min="5" max="5" width="20.5" style="211" customWidth="1"/>
    <col min="6" max="6" width="31.125" style="211" customWidth="1"/>
    <col min="7" max="7" width="29.125" style="211" customWidth="1"/>
    <col min="8" max="8" width="32" style="211" customWidth="1"/>
    <col min="9" max="9" width="32.375" style="211" customWidth="1"/>
    <col min="10" max="10" width="21.125" style="212" customWidth="1"/>
    <col min="11" max="11" width="23.875" style="212" customWidth="1"/>
    <col min="12" max="12" width="6.625" style="211" customWidth="1"/>
    <col min="13" max="13" width="8.125" style="211" customWidth="1"/>
    <col min="14" max="14" width="12.125" style="211" customWidth="1"/>
    <col min="15" max="237" width="9" style="210"/>
    <col min="238" max="238" width="3.875" style="210" bestFit="1" customWidth="1"/>
    <col min="239" max="239" width="16" style="210" bestFit="1" customWidth="1"/>
    <col min="240" max="240" width="16.625" style="210" bestFit="1" customWidth="1"/>
    <col min="241" max="241" width="13.5" style="210" bestFit="1" customWidth="1"/>
    <col min="242" max="243" width="10.875" style="210" bestFit="1" customWidth="1"/>
    <col min="244" max="244" width="6.25" style="210" bestFit="1" customWidth="1"/>
    <col min="245" max="245" width="8.875" style="210" bestFit="1" customWidth="1"/>
    <col min="246" max="246" width="13.875" style="210" bestFit="1" customWidth="1"/>
    <col min="247" max="247" width="13.25" style="210" bestFit="1" customWidth="1"/>
    <col min="248" max="248" width="16" style="210" bestFit="1" customWidth="1"/>
    <col min="249" max="249" width="11.625" style="210" bestFit="1" customWidth="1"/>
    <col min="250" max="250" width="16.875" style="210" customWidth="1"/>
    <col min="251" max="251" width="13.25" style="210" customWidth="1"/>
    <col min="252" max="252" width="18.375" style="210" bestFit="1" customWidth="1"/>
    <col min="253" max="253" width="15" style="210" bestFit="1" customWidth="1"/>
    <col min="254" max="254" width="14.75" style="210" bestFit="1" customWidth="1"/>
    <col min="255" max="255" width="14.625" style="210" bestFit="1" customWidth="1"/>
    <col min="256" max="256" width="13.75" style="210" bestFit="1" customWidth="1"/>
    <col min="257" max="257" width="14.25" style="210" bestFit="1" customWidth="1"/>
    <col min="258" max="258" width="15.125" style="210" customWidth="1"/>
    <col min="259" max="259" width="20.5" style="210" bestFit="1" customWidth="1"/>
    <col min="260" max="260" width="27.875" style="210" bestFit="1" customWidth="1"/>
    <col min="261" max="261" width="6.875" style="210" bestFit="1" customWidth="1"/>
    <col min="262" max="262" width="5" style="210" bestFit="1" customWidth="1"/>
    <col min="263" max="263" width="8" style="210" bestFit="1" customWidth="1"/>
    <col min="264" max="264" width="11.875" style="210" bestFit="1" customWidth="1"/>
    <col min="265" max="493" width="9" style="210"/>
    <col min="494" max="494" width="3.875" style="210" bestFit="1" customWidth="1"/>
    <col min="495" max="495" width="16" style="210" bestFit="1" customWidth="1"/>
    <col min="496" max="496" width="16.625" style="210" bestFit="1" customWidth="1"/>
    <col min="497" max="497" width="13.5" style="210" bestFit="1" customWidth="1"/>
    <col min="498" max="499" width="10.875" style="210" bestFit="1" customWidth="1"/>
    <col min="500" max="500" width="6.25" style="210" bestFit="1" customWidth="1"/>
    <col min="501" max="501" width="8.875" style="210" bestFit="1" customWidth="1"/>
    <col min="502" max="502" width="13.875" style="210" bestFit="1" customWidth="1"/>
    <col min="503" max="503" width="13.25" style="210" bestFit="1" customWidth="1"/>
    <col min="504" max="504" width="16" style="210" bestFit="1" customWidth="1"/>
    <col min="505" max="505" width="11.625" style="210" bestFit="1" customWidth="1"/>
    <col min="506" max="506" width="16.875" style="210" customWidth="1"/>
    <col min="507" max="507" width="13.25" style="210" customWidth="1"/>
    <col min="508" max="508" width="18.375" style="210" bestFit="1" customWidth="1"/>
    <col min="509" max="509" width="15" style="210" bestFit="1" customWidth="1"/>
    <col min="510" max="510" width="14.75" style="210" bestFit="1" customWidth="1"/>
    <col min="511" max="511" width="14.625" style="210" bestFit="1" customWidth="1"/>
    <col min="512" max="512" width="13.75" style="210" bestFit="1" customWidth="1"/>
    <col min="513" max="513" width="14.25" style="210" bestFit="1" customWidth="1"/>
    <col min="514" max="514" width="15.125" style="210" customWidth="1"/>
    <col min="515" max="515" width="20.5" style="210" bestFit="1" customWidth="1"/>
    <col min="516" max="516" width="27.875" style="210" bestFit="1" customWidth="1"/>
    <col min="517" max="517" width="6.875" style="210" bestFit="1" customWidth="1"/>
    <col min="518" max="518" width="5" style="210" bestFit="1" customWidth="1"/>
    <col min="519" max="519" width="8" style="210" bestFit="1" customWidth="1"/>
    <col min="520" max="520" width="11.875" style="210" bestFit="1" customWidth="1"/>
    <col min="521" max="749" width="9" style="210"/>
    <col min="750" max="750" width="3.875" style="210" bestFit="1" customWidth="1"/>
    <col min="751" max="751" width="16" style="210" bestFit="1" customWidth="1"/>
    <col min="752" max="752" width="16.625" style="210" bestFit="1" customWidth="1"/>
    <col min="753" max="753" width="13.5" style="210" bestFit="1" customWidth="1"/>
    <col min="754" max="755" width="10.875" style="210" bestFit="1" customWidth="1"/>
    <col min="756" max="756" width="6.25" style="210" bestFit="1" customWidth="1"/>
    <col min="757" max="757" width="8.875" style="210" bestFit="1" customWidth="1"/>
    <col min="758" max="758" width="13.875" style="210" bestFit="1" customWidth="1"/>
    <col min="759" max="759" width="13.25" style="210" bestFit="1" customWidth="1"/>
    <col min="760" max="760" width="16" style="210" bestFit="1" customWidth="1"/>
    <col min="761" max="761" width="11.625" style="210" bestFit="1" customWidth="1"/>
    <col min="762" max="762" width="16.875" style="210" customWidth="1"/>
    <col min="763" max="763" width="13.25" style="210" customWidth="1"/>
    <col min="764" max="764" width="18.375" style="210" bestFit="1" customWidth="1"/>
    <col min="765" max="765" width="15" style="210" bestFit="1" customWidth="1"/>
    <col min="766" max="766" width="14.75" style="210" bestFit="1" customWidth="1"/>
    <col min="767" max="767" width="14.625" style="210" bestFit="1" customWidth="1"/>
    <col min="768" max="768" width="13.75" style="210" bestFit="1" customWidth="1"/>
    <col min="769" max="769" width="14.25" style="210" bestFit="1" customWidth="1"/>
    <col min="770" max="770" width="15.125" style="210" customWidth="1"/>
    <col min="771" max="771" width="20.5" style="210" bestFit="1" customWidth="1"/>
    <col min="772" max="772" width="27.875" style="210" bestFit="1" customWidth="1"/>
    <col min="773" max="773" width="6.875" style="210" bestFit="1" customWidth="1"/>
    <col min="774" max="774" width="5" style="210" bestFit="1" customWidth="1"/>
    <col min="775" max="775" width="8" style="210" bestFit="1" customWidth="1"/>
    <col min="776" max="776" width="11.875" style="210" bestFit="1" customWidth="1"/>
    <col min="777" max="1005" width="9" style="210"/>
    <col min="1006" max="1006" width="3.875" style="210" bestFit="1" customWidth="1"/>
    <col min="1007" max="1007" width="16" style="210" bestFit="1" customWidth="1"/>
    <col min="1008" max="1008" width="16.625" style="210" bestFit="1" customWidth="1"/>
    <col min="1009" max="1009" width="13.5" style="210" bestFit="1" customWidth="1"/>
    <col min="1010" max="1011" width="10.875" style="210" bestFit="1" customWidth="1"/>
    <col min="1012" max="1012" width="6.25" style="210" bestFit="1" customWidth="1"/>
    <col min="1013" max="1013" width="8.875" style="210" bestFit="1" customWidth="1"/>
    <col min="1014" max="1014" width="13.875" style="210" bestFit="1" customWidth="1"/>
    <col min="1015" max="1015" width="13.25" style="210" bestFit="1" customWidth="1"/>
    <col min="1016" max="1016" width="16" style="210" bestFit="1" customWidth="1"/>
    <col min="1017" max="1017" width="11.625" style="210" bestFit="1" customWidth="1"/>
    <col min="1018" max="1018" width="16.875" style="210" customWidth="1"/>
    <col min="1019" max="1019" width="13.25" style="210" customWidth="1"/>
    <col min="1020" max="1020" width="18.375" style="210" bestFit="1" customWidth="1"/>
    <col min="1021" max="1021" width="15" style="210" bestFit="1" customWidth="1"/>
    <col min="1022" max="1022" width="14.75" style="210" bestFit="1" customWidth="1"/>
    <col min="1023" max="1023" width="14.625" style="210" bestFit="1" customWidth="1"/>
    <col min="1024" max="1024" width="13.75" style="210" bestFit="1" customWidth="1"/>
    <col min="1025" max="1025" width="14.25" style="210" bestFit="1" customWidth="1"/>
    <col min="1026" max="1026" width="15.125" style="210" customWidth="1"/>
    <col min="1027" max="1027" width="20.5" style="210" bestFit="1" customWidth="1"/>
    <col min="1028" max="1028" width="27.875" style="210" bestFit="1" customWidth="1"/>
    <col min="1029" max="1029" width="6.875" style="210" bestFit="1" customWidth="1"/>
    <col min="1030" max="1030" width="5" style="210" bestFit="1" customWidth="1"/>
    <col min="1031" max="1031" width="8" style="210" bestFit="1" customWidth="1"/>
    <col min="1032" max="1032" width="11.875" style="210" bestFit="1" customWidth="1"/>
    <col min="1033" max="1261" width="9" style="210"/>
    <col min="1262" max="1262" width="3.875" style="210" bestFit="1" customWidth="1"/>
    <col min="1263" max="1263" width="16" style="210" bestFit="1" customWidth="1"/>
    <col min="1264" max="1264" width="16.625" style="210" bestFit="1" customWidth="1"/>
    <col min="1265" max="1265" width="13.5" style="210" bestFit="1" customWidth="1"/>
    <col min="1266" max="1267" width="10.875" style="210" bestFit="1" customWidth="1"/>
    <col min="1268" max="1268" width="6.25" style="210" bestFit="1" customWidth="1"/>
    <col min="1269" max="1269" width="8.875" style="210" bestFit="1" customWidth="1"/>
    <col min="1270" max="1270" width="13.875" style="210" bestFit="1" customWidth="1"/>
    <col min="1271" max="1271" width="13.25" style="210" bestFit="1" customWidth="1"/>
    <col min="1272" max="1272" width="16" style="210" bestFit="1" customWidth="1"/>
    <col min="1273" max="1273" width="11.625" style="210" bestFit="1" customWidth="1"/>
    <col min="1274" max="1274" width="16.875" style="210" customWidth="1"/>
    <col min="1275" max="1275" width="13.25" style="210" customWidth="1"/>
    <col min="1276" max="1276" width="18.375" style="210" bestFit="1" customWidth="1"/>
    <col min="1277" max="1277" width="15" style="210" bestFit="1" customWidth="1"/>
    <col min="1278" max="1278" width="14.75" style="210" bestFit="1" customWidth="1"/>
    <col min="1279" max="1279" width="14.625" style="210" bestFit="1" customWidth="1"/>
    <col min="1280" max="1280" width="13.75" style="210" bestFit="1" customWidth="1"/>
    <col min="1281" max="1281" width="14.25" style="210" bestFit="1" customWidth="1"/>
    <col min="1282" max="1282" width="15.125" style="210" customWidth="1"/>
    <col min="1283" max="1283" width="20.5" style="210" bestFit="1" customWidth="1"/>
    <col min="1284" max="1284" width="27.875" style="210" bestFit="1" customWidth="1"/>
    <col min="1285" max="1285" width="6.875" style="210" bestFit="1" customWidth="1"/>
    <col min="1286" max="1286" width="5" style="210" bestFit="1" customWidth="1"/>
    <col min="1287" max="1287" width="8" style="210" bestFit="1" customWidth="1"/>
    <col min="1288" max="1288" width="11.875" style="210" bestFit="1" customWidth="1"/>
    <col min="1289" max="1517" width="9" style="210"/>
    <col min="1518" max="1518" width="3.875" style="210" bestFit="1" customWidth="1"/>
    <col min="1519" max="1519" width="16" style="210" bestFit="1" customWidth="1"/>
    <col min="1520" max="1520" width="16.625" style="210" bestFit="1" customWidth="1"/>
    <col min="1521" max="1521" width="13.5" style="210" bestFit="1" customWidth="1"/>
    <col min="1522" max="1523" width="10.875" style="210" bestFit="1" customWidth="1"/>
    <col min="1524" max="1524" width="6.25" style="210" bestFit="1" customWidth="1"/>
    <col min="1525" max="1525" width="8.875" style="210" bestFit="1" customWidth="1"/>
    <col min="1526" max="1526" width="13.875" style="210" bestFit="1" customWidth="1"/>
    <col min="1527" max="1527" width="13.25" style="210" bestFit="1" customWidth="1"/>
    <col min="1528" max="1528" width="16" style="210" bestFit="1" customWidth="1"/>
    <col min="1529" max="1529" width="11.625" style="210" bestFit="1" customWidth="1"/>
    <col min="1530" max="1530" width="16.875" style="210" customWidth="1"/>
    <col min="1531" max="1531" width="13.25" style="210" customWidth="1"/>
    <col min="1532" max="1532" width="18.375" style="210" bestFit="1" customWidth="1"/>
    <col min="1533" max="1533" width="15" style="210" bestFit="1" customWidth="1"/>
    <col min="1534" max="1534" width="14.75" style="210" bestFit="1" customWidth="1"/>
    <col min="1535" max="1535" width="14.625" style="210" bestFit="1" customWidth="1"/>
    <col min="1536" max="1536" width="13.75" style="210" bestFit="1" customWidth="1"/>
    <col min="1537" max="1537" width="14.25" style="210" bestFit="1" customWidth="1"/>
    <col min="1538" max="1538" width="15.125" style="210" customWidth="1"/>
    <col min="1539" max="1539" width="20.5" style="210" bestFit="1" customWidth="1"/>
    <col min="1540" max="1540" width="27.875" style="210" bestFit="1" customWidth="1"/>
    <col min="1541" max="1541" width="6.875" style="210" bestFit="1" customWidth="1"/>
    <col min="1542" max="1542" width="5" style="210" bestFit="1" customWidth="1"/>
    <col min="1543" max="1543" width="8" style="210" bestFit="1" customWidth="1"/>
    <col min="1544" max="1544" width="11.875" style="210" bestFit="1" customWidth="1"/>
    <col min="1545" max="1773" width="9" style="210"/>
    <col min="1774" max="1774" width="3.875" style="210" bestFit="1" customWidth="1"/>
    <col min="1775" max="1775" width="16" style="210" bestFit="1" customWidth="1"/>
    <col min="1776" max="1776" width="16.625" style="210" bestFit="1" customWidth="1"/>
    <col min="1777" max="1777" width="13.5" style="210" bestFit="1" customWidth="1"/>
    <col min="1778" max="1779" width="10.875" style="210" bestFit="1" customWidth="1"/>
    <col min="1780" max="1780" width="6.25" style="210" bestFit="1" customWidth="1"/>
    <col min="1781" max="1781" width="8.875" style="210" bestFit="1" customWidth="1"/>
    <col min="1782" max="1782" width="13.875" style="210" bestFit="1" customWidth="1"/>
    <col min="1783" max="1783" width="13.25" style="210" bestFit="1" customWidth="1"/>
    <col min="1784" max="1784" width="16" style="210" bestFit="1" customWidth="1"/>
    <col min="1785" max="1785" width="11.625" style="210" bestFit="1" customWidth="1"/>
    <col min="1786" max="1786" width="16.875" style="210" customWidth="1"/>
    <col min="1787" max="1787" width="13.25" style="210" customWidth="1"/>
    <col min="1788" max="1788" width="18.375" style="210" bestFit="1" customWidth="1"/>
    <col min="1789" max="1789" width="15" style="210" bestFit="1" customWidth="1"/>
    <col min="1790" max="1790" width="14.75" style="210" bestFit="1" customWidth="1"/>
    <col min="1791" max="1791" width="14.625" style="210" bestFit="1" customWidth="1"/>
    <col min="1792" max="1792" width="13.75" style="210" bestFit="1" customWidth="1"/>
    <col min="1793" max="1793" width="14.25" style="210" bestFit="1" customWidth="1"/>
    <col min="1794" max="1794" width="15.125" style="210" customWidth="1"/>
    <col min="1795" max="1795" width="20.5" style="210" bestFit="1" customWidth="1"/>
    <col min="1796" max="1796" width="27.875" style="210" bestFit="1" customWidth="1"/>
    <col min="1797" max="1797" width="6.875" style="210" bestFit="1" customWidth="1"/>
    <col min="1798" max="1798" width="5" style="210" bestFit="1" customWidth="1"/>
    <col min="1799" max="1799" width="8" style="210" bestFit="1" customWidth="1"/>
    <col min="1800" max="1800" width="11.875" style="210" bestFit="1" customWidth="1"/>
    <col min="1801" max="2029" width="9" style="210"/>
    <col min="2030" max="2030" width="3.875" style="210" bestFit="1" customWidth="1"/>
    <col min="2031" max="2031" width="16" style="210" bestFit="1" customWidth="1"/>
    <col min="2032" max="2032" width="16.625" style="210" bestFit="1" customWidth="1"/>
    <col min="2033" max="2033" width="13.5" style="210" bestFit="1" customWidth="1"/>
    <col min="2034" max="2035" width="10.875" style="210" bestFit="1" customWidth="1"/>
    <col min="2036" max="2036" width="6.25" style="210" bestFit="1" customWidth="1"/>
    <col min="2037" max="2037" width="8.875" style="210" bestFit="1" customWidth="1"/>
    <col min="2038" max="2038" width="13.875" style="210" bestFit="1" customWidth="1"/>
    <col min="2039" max="2039" width="13.25" style="210" bestFit="1" customWidth="1"/>
    <col min="2040" max="2040" width="16" style="210" bestFit="1" customWidth="1"/>
    <col min="2041" max="2041" width="11.625" style="210" bestFit="1" customWidth="1"/>
    <col min="2042" max="2042" width="16.875" style="210" customWidth="1"/>
    <col min="2043" max="2043" width="13.25" style="210" customWidth="1"/>
    <col min="2044" max="2044" width="18.375" style="210" bestFit="1" customWidth="1"/>
    <col min="2045" max="2045" width="15" style="210" bestFit="1" customWidth="1"/>
    <col min="2046" max="2046" width="14.75" style="210" bestFit="1" customWidth="1"/>
    <col min="2047" max="2047" width="14.625" style="210" bestFit="1" customWidth="1"/>
    <col min="2048" max="2048" width="13.75" style="210" bestFit="1" customWidth="1"/>
    <col min="2049" max="2049" width="14.25" style="210" bestFit="1" customWidth="1"/>
    <col min="2050" max="2050" width="15.125" style="210" customWidth="1"/>
    <col min="2051" max="2051" width="20.5" style="210" bestFit="1" customWidth="1"/>
    <col min="2052" max="2052" width="27.875" style="210" bestFit="1" customWidth="1"/>
    <col min="2053" max="2053" width="6.875" style="210" bestFit="1" customWidth="1"/>
    <col min="2054" max="2054" width="5" style="210" bestFit="1" customWidth="1"/>
    <col min="2055" max="2055" width="8" style="210" bestFit="1" customWidth="1"/>
    <col min="2056" max="2056" width="11.875" style="210" bestFit="1" customWidth="1"/>
    <col min="2057" max="2285" width="9" style="210"/>
    <col min="2286" max="2286" width="3.875" style="210" bestFit="1" customWidth="1"/>
    <col min="2287" max="2287" width="16" style="210" bestFit="1" customWidth="1"/>
    <col min="2288" max="2288" width="16.625" style="210" bestFit="1" customWidth="1"/>
    <col min="2289" max="2289" width="13.5" style="210" bestFit="1" customWidth="1"/>
    <col min="2290" max="2291" width="10.875" style="210" bestFit="1" customWidth="1"/>
    <col min="2292" max="2292" width="6.25" style="210" bestFit="1" customWidth="1"/>
    <col min="2293" max="2293" width="8.875" style="210" bestFit="1" customWidth="1"/>
    <col min="2294" max="2294" width="13.875" style="210" bestFit="1" customWidth="1"/>
    <col min="2295" max="2295" width="13.25" style="210" bestFit="1" customWidth="1"/>
    <col min="2296" max="2296" width="16" style="210" bestFit="1" customWidth="1"/>
    <col min="2297" max="2297" width="11.625" style="210" bestFit="1" customWidth="1"/>
    <col min="2298" max="2298" width="16.875" style="210" customWidth="1"/>
    <col min="2299" max="2299" width="13.25" style="210" customWidth="1"/>
    <col min="2300" max="2300" width="18.375" style="210" bestFit="1" customWidth="1"/>
    <col min="2301" max="2301" width="15" style="210" bestFit="1" customWidth="1"/>
    <col min="2302" max="2302" width="14.75" style="210" bestFit="1" customWidth="1"/>
    <col min="2303" max="2303" width="14.625" style="210" bestFit="1" customWidth="1"/>
    <col min="2304" max="2304" width="13.75" style="210" bestFit="1" customWidth="1"/>
    <col min="2305" max="2305" width="14.25" style="210" bestFit="1" customWidth="1"/>
    <col min="2306" max="2306" width="15.125" style="210" customWidth="1"/>
    <col min="2307" max="2307" width="20.5" style="210" bestFit="1" customWidth="1"/>
    <col min="2308" max="2308" width="27.875" style="210" bestFit="1" customWidth="1"/>
    <col min="2309" max="2309" width="6.875" style="210" bestFit="1" customWidth="1"/>
    <col min="2310" max="2310" width="5" style="210" bestFit="1" customWidth="1"/>
    <col min="2311" max="2311" width="8" style="210" bestFit="1" customWidth="1"/>
    <col min="2312" max="2312" width="11.875" style="210" bestFit="1" customWidth="1"/>
    <col min="2313" max="2541" width="9" style="210"/>
    <col min="2542" max="2542" width="3.875" style="210" bestFit="1" customWidth="1"/>
    <col min="2543" max="2543" width="16" style="210" bestFit="1" customWidth="1"/>
    <col min="2544" max="2544" width="16.625" style="210" bestFit="1" customWidth="1"/>
    <col min="2545" max="2545" width="13.5" style="210" bestFit="1" customWidth="1"/>
    <col min="2546" max="2547" width="10.875" style="210" bestFit="1" customWidth="1"/>
    <col min="2548" max="2548" width="6.25" style="210" bestFit="1" customWidth="1"/>
    <col min="2549" max="2549" width="8.875" style="210" bestFit="1" customWidth="1"/>
    <col min="2550" max="2550" width="13.875" style="210" bestFit="1" customWidth="1"/>
    <col min="2551" max="2551" width="13.25" style="210" bestFit="1" customWidth="1"/>
    <col min="2552" max="2552" width="16" style="210" bestFit="1" customWidth="1"/>
    <col min="2553" max="2553" width="11.625" style="210" bestFit="1" customWidth="1"/>
    <col min="2554" max="2554" width="16.875" style="210" customWidth="1"/>
    <col min="2555" max="2555" width="13.25" style="210" customWidth="1"/>
    <col min="2556" max="2556" width="18.375" style="210" bestFit="1" customWidth="1"/>
    <col min="2557" max="2557" width="15" style="210" bestFit="1" customWidth="1"/>
    <col min="2558" max="2558" width="14.75" style="210" bestFit="1" customWidth="1"/>
    <col min="2559" max="2559" width="14.625" style="210" bestFit="1" customWidth="1"/>
    <col min="2560" max="2560" width="13.75" style="210" bestFit="1" customWidth="1"/>
    <col min="2561" max="2561" width="14.25" style="210" bestFit="1" customWidth="1"/>
    <col min="2562" max="2562" width="15.125" style="210" customWidth="1"/>
    <col min="2563" max="2563" width="20.5" style="210" bestFit="1" customWidth="1"/>
    <col min="2564" max="2564" width="27.875" style="210" bestFit="1" customWidth="1"/>
    <col min="2565" max="2565" width="6.875" style="210" bestFit="1" customWidth="1"/>
    <col min="2566" max="2566" width="5" style="210" bestFit="1" customWidth="1"/>
    <col min="2567" max="2567" width="8" style="210" bestFit="1" customWidth="1"/>
    <col min="2568" max="2568" width="11.875" style="210" bestFit="1" customWidth="1"/>
    <col min="2569" max="2797" width="9" style="210"/>
    <col min="2798" max="2798" width="3.875" style="210" bestFit="1" customWidth="1"/>
    <col min="2799" max="2799" width="16" style="210" bestFit="1" customWidth="1"/>
    <col min="2800" max="2800" width="16.625" style="210" bestFit="1" customWidth="1"/>
    <col min="2801" max="2801" width="13.5" style="210" bestFit="1" customWidth="1"/>
    <col min="2802" max="2803" width="10.875" style="210" bestFit="1" customWidth="1"/>
    <col min="2804" max="2804" width="6.25" style="210" bestFit="1" customWidth="1"/>
    <col min="2805" max="2805" width="8.875" style="210" bestFit="1" customWidth="1"/>
    <col min="2806" max="2806" width="13.875" style="210" bestFit="1" customWidth="1"/>
    <col min="2807" max="2807" width="13.25" style="210" bestFit="1" customWidth="1"/>
    <col min="2808" max="2808" width="16" style="210" bestFit="1" customWidth="1"/>
    <col min="2809" max="2809" width="11.625" style="210" bestFit="1" customWidth="1"/>
    <col min="2810" max="2810" width="16.875" style="210" customWidth="1"/>
    <col min="2811" max="2811" width="13.25" style="210" customWidth="1"/>
    <col min="2812" max="2812" width="18.375" style="210" bestFit="1" customWidth="1"/>
    <col min="2813" max="2813" width="15" style="210" bestFit="1" customWidth="1"/>
    <col min="2814" max="2814" width="14.75" style="210" bestFit="1" customWidth="1"/>
    <col min="2815" max="2815" width="14.625" style="210" bestFit="1" customWidth="1"/>
    <col min="2816" max="2816" width="13.75" style="210" bestFit="1" customWidth="1"/>
    <col min="2817" max="2817" width="14.25" style="210" bestFit="1" customWidth="1"/>
    <col min="2818" max="2818" width="15.125" style="210" customWidth="1"/>
    <col min="2819" max="2819" width="20.5" style="210" bestFit="1" customWidth="1"/>
    <col min="2820" max="2820" width="27.875" style="210" bestFit="1" customWidth="1"/>
    <col min="2821" max="2821" width="6.875" style="210" bestFit="1" customWidth="1"/>
    <col min="2822" max="2822" width="5" style="210" bestFit="1" customWidth="1"/>
    <col min="2823" max="2823" width="8" style="210" bestFit="1" customWidth="1"/>
    <col min="2824" max="2824" width="11.875" style="210" bestFit="1" customWidth="1"/>
    <col min="2825" max="3053" width="9" style="210"/>
    <col min="3054" max="3054" width="3.875" style="210" bestFit="1" customWidth="1"/>
    <col min="3055" max="3055" width="16" style="210" bestFit="1" customWidth="1"/>
    <col min="3056" max="3056" width="16.625" style="210" bestFit="1" customWidth="1"/>
    <col min="3057" max="3057" width="13.5" style="210" bestFit="1" customWidth="1"/>
    <col min="3058" max="3059" width="10.875" style="210" bestFit="1" customWidth="1"/>
    <col min="3060" max="3060" width="6.25" style="210" bestFit="1" customWidth="1"/>
    <col min="3061" max="3061" width="8.875" style="210" bestFit="1" customWidth="1"/>
    <col min="3062" max="3062" width="13.875" style="210" bestFit="1" customWidth="1"/>
    <col min="3063" max="3063" width="13.25" style="210" bestFit="1" customWidth="1"/>
    <col min="3064" max="3064" width="16" style="210" bestFit="1" customWidth="1"/>
    <col min="3065" max="3065" width="11.625" style="210" bestFit="1" customWidth="1"/>
    <col min="3066" max="3066" width="16.875" style="210" customWidth="1"/>
    <col min="3067" max="3067" width="13.25" style="210" customWidth="1"/>
    <col min="3068" max="3068" width="18.375" style="210" bestFit="1" customWidth="1"/>
    <col min="3069" max="3069" width="15" style="210" bestFit="1" customWidth="1"/>
    <col min="3070" max="3070" width="14.75" style="210" bestFit="1" customWidth="1"/>
    <col min="3071" max="3071" width="14.625" style="210" bestFit="1" customWidth="1"/>
    <col min="3072" max="3072" width="13.75" style="210" bestFit="1" customWidth="1"/>
    <col min="3073" max="3073" width="14.25" style="210" bestFit="1" customWidth="1"/>
    <col min="3074" max="3074" width="15.125" style="210" customWidth="1"/>
    <col min="3075" max="3075" width="20.5" style="210" bestFit="1" customWidth="1"/>
    <col min="3076" max="3076" width="27.875" style="210" bestFit="1" customWidth="1"/>
    <col min="3077" max="3077" width="6.875" style="210" bestFit="1" customWidth="1"/>
    <col min="3078" max="3078" width="5" style="210" bestFit="1" customWidth="1"/>
    <col min="3079" max="3079" width="8" style="210" bestFit="1" customWidth="1"/>
    <col min="3080" max="3080" width="11.875" style="210" bestFit="1" customWidth="1"/>
    <col min="3081" max="3309" width="9" style="210"/>
    <col min="3310" max="3310" width="3.875" style="210" bestFit="1" customWidth="1"/>
    <col min="3311" max="3311" width="16" style="210" bestFit="1" customWidth="1"/>
    <col min="3312" max="3312" width="16.625" style="210" bestFit="1" customWidth="1"/>
    <col min="3313" max="3313" width="13.5" style="210" bestFit="1" customWidth="1"/>
    <col min="3314" max="3315" width="10.875" style="210" bestFit="1" customWidth="1"/>
    <col min="3316" max="3316" width="6.25" style="210" bestFit="1" customWidth="1"/>
    <col min="3317" max="3317" width="8.875" style="210" bestFit="1" customWidth="1"/>
    <col min="3318" max="3318" width="13.875" style="210" bestFit="1" customWidth="1"/>
    <col min="3319" max="3319" width="13.25" style="210" bestFit="1" customWidth="1"/>
    <col min="3320" max="3320" width="16" style="210" bestFit="1" customWidth="1"/>
    <col min="3321" max="3321" width="11.625" style="210" bestFit="1" customWidth="1"/>
    <col min="3322" max="3322" width="16.875" style="210" customWidth="1"/>
    <col min="3323" max="3323" width="13.25" style="210" customWidth="1"/>
    <col min="3324" max="3324" width="18.375" style="210" bestFit="1" customWidth="1"/>
    <col min="3325" max="3325" width="15" style="210" bestFit="1" customWidth="1"/>
    <col min="3326" max="3326" width="14.75" style="210" bestFit="1" customWidth="1"/>
    <col min="3327" max="3327" width="14.625" style="210" bestFit="1" customWidth="1"/>
    <col min="3328" max="3328" width="13.75" style="210" bestFit="1" customWidth="1"/>
    <col min="3329" max="3329" width="14.25" style="210" bestFit="1" customWidth="1"/>
    <col min="3330" max="3330" width="15.125" style="210" customWidth="1"/>
    <col min="3331" max="3331" width="20.5" style="210" bestFit="1" customWidth="1"/>
    <col min="3332" max="3332" width="27.875" style="210" bestFit="1" customWidth="1"/>
    <col min="3333" max="3333" width="6.875" style="210" bestFit="1" customWidth="1"/>
    <col min="3334" max="3334" width="5" style="210" bestFit="1" customWidth="1"/>
    <col min="3335" max="3335" width="8" style="210" bestFit="1" customWidth="1"/>
    <col min="3336" max="3336" width="11.875" style="210" bestFit="1" customWidth="1"/>
    <col min="3337" max="3565" width="9" style="210"/>
    <col min="3566" max="3566" width="3.875" style="210" bestFit="1" customWidth="1"/>
    <col min="3567" max="3567" width="16" style="210" bestFit="1" customWidth="1"/>
    <col min="3568" max="3568" width="16.625" style="210" bestFit="1" customWidth="1"/>
    <col min="3569" max="3569" width="13.5" style="210" bestFit="1" customWidth="1"/>
    <col min="3570" max="3571" width="10.875" style="210" bestFit="1" customWidth="1"/>
    <col min="3572" max="3572" width="6.25" style="210" bestFit="1" customWidth="1"/>
    <col min="3573" max="3573" width="8.875" style="210" bestFit="1" customWidth="1"/>
    <col min="3574" max="3574" width="13.875" style="210" bestFit="1" customWidth="1"/>
    <col min="3575" max="3575" width="13.25" style="210" bestFit="1" customWidth="1"/>
    <col min="3576" max="3576" width="16" style="210" bestFit="1" customWidth="1"/>
    <col min="3577" max="3577" width="11.625" style="210" bestFit="1" customWidth="1"/>
    <col min="3578" max="3578" width="16.875" style="210" customWidth="1"/>
    <col min="3579" max="3579" width="13.25" style="210" customWidth="1"/>
    <col min="3580" max="3580" width="18.375" style="210" bestFit="1" customWidth="1"/>
    <col min="3581" max="3581" width="15" style="210" bestFit="1" customWidth="1"/>
    <col min="3582" max="3582" width="14.75" style="210" bestFit="1" customWidth="1"/>
    <col min="3583" max="3583" width="14.625" style="210" bestFit="1" customWidth="1"/>
    <col min="3584" max="3584" width="13.75" style="210" bestFit="1" customWidth="1"/>
    <col min="3585" max="3585" width="14.25" style="210" bestFit="1" customWidth="1"/>
    <col min="3586" max="3586" width="15.125" style="210" customWidth="1"/>
    <col min="3587" max="3587" width="20.5" style="210" bestFit="1" customWidth="1"/>
    <col min="3588" max="3588" width="27.875" style="210" bestFit="1" customWidth="1"/>
    <col min="3589" max="3589" width="6.875" style="210" bestFit="1" customWidth="1"/>
    <col min="3590" max="3590" width="5" style="210" bestFit="1" customWidth="1"/>
    <col min="3591" max="3591" width="8" style="210" bestFit="1" customWidth="1"/>
    <col min="3592" max="3592" width="11.875" style="210" bestFit="1" customWidth="1"/>
    <col min="3593" max="3821" width="9" style="210"/>
    <col min="3822" max="3822" width="3.875" style="210" bestFit="1" customWidth="1"/>
    <col min="3823" max="3823" width="16" style="210" bestFit="1" customWidth="1"/>
    <col min="3824" max="3824" width="16.625" style="210" bestFit="1" customWidth="1"/>
    <col min="3825" max="3825" width="13.5" style="210" bestFit="1" customWidth="1"/>
    <col min="3826" max="3827" width="10.875" style="210" bestFit="1" customWidth="1"/>
    <col min="3828" max="3828" width="6.25" style="210" bestFit="1" customWidth="1"/>
    <col min="3829" max="3829" width="8.875" style="210" bestFit="1" customWidth="1"/>
    <col min="3830" max="3830" width="13.875" style="210" bestFit="1" customWidth="1"/>
    <col min="3831" max="3831" width="13.25" style="210" bestFit="1" customWidth="1"/>
    <col min="3832" max="3832" width="16" style="210" bestFit="1" customWidth="1"/>
    <col min="3833" max="3833" width="11.625" style="210" bestFit="1" customWidth="1"/>
    <col min="3834" max="3834" width="16.875" style="210" customWidth="1"/>
    <col min="3835" max="3835" width="13.25" style="210" customWidth="1"/>
    <col min="3836" max="3836" width="18.375" style="210" bestFit="1" customWidth="1"/>
    <col min="3837" max="3837" width="15" style="210" bestFit="1" customWidth="1"/>
    <col min="3838" max="3838" width="14.75" style="210" bestFit="1" customWidth="1"/>
    <col min="3839" max="3839" width="14.625" style="210" bestFit="1" customWidth="1"/>
    <col min="3840" max="3840" width="13.75" style="210" bestFit="1" customWidth="1"/>
    <col min="3841" max="3841" width="14.25" style="210" bestFit="1" customWidth="1"/>
    <col min="3842" max="3842" width="15.125" style="210" customWidth="1"/>
    <col min="3843" max="3843" width="20.5" style="210" bestFit="1" customWidth="1"/>
    <col min="3844" max="3844" width="27.875" style="210" bestFit="1" customWidth="1"/>
    <col min="3845" max="3845" width="6.875" style="210" bestFit="1" customWidth="1"/>
    <col min="3846" max="3846" width="5" style="210" bestFit="1" customWidth="1"/>
    <col min="3847" max="3847" width="8" style="210" bestFit="1" customWidth="1"/>
    <col min="3848" max="3848" width="11.875" style="210" bestFit="1" customWidth="1"/>
    <col min="3849" max="4077" width="9" style="210"/>
    <col min="4078" max="4078" width="3.875" style="210" bestFit="1" customWidth="1"/>
    <col min="4079" max="4079" width="16" style="210" bestFit="1" customWidth="1"/>
    <col min="4080" max="4080" width="16.625" style="210" bestFit="1" customWidth="1"/>
    <col min="4081" max="4081" width="13.5" style="210" bestFit="1" customWidth="1"/>
    <col min="4082" max="4083" width="10.875" style="210" bestFit="1" customWidth="1"/>
    <col min="4084" max="4084" width="6.25" style="210" bestFit="1" customWidth="1"/>
    <col min="4085" max="4085" width="8.875" style="210" bestFit="1" customWidth="1"/>
    <col min="4086" max="4086" width="13.875" style="210" bestFit="1" customWidth="1"/>
    <col min="4087" max="4087" width="13.25" style="210" bestFit="1" customWidth="1"/>
    <col min="4088" max="4088" width="16" style="210" bestFit="1" customWidth="1"/>
    <col min="4089" max="4089" width="11.625" style="210" bestFit="1" customWidth="1"/>
    <col min="4090" max="4090" width="16.875" style="210" customWidth="1"/>
    <col min="4091" max="4091" width="13.25" style="210" customWidth="1"/>
    <col min="4092" max="4092" width="18.375" style="210" bestFit="1" customWidth="1"/>
    <col min="4093" max="4093" width="15" style="210" bestFit="1" customWidth="1"/>
    <col min="4094" max="4094" width="14.75" style="210" bestFit="1" customWidth="1"/>
    <col min="4095" max="4095" width="14.625" style="210" bestFit="1" customWidth="1"/>
    <col min="4096" max="4096" width="13.75" style="210" bestFit="1" customWidth="1"/>
    <col min="4097" max="4097" width="14.25" style="210" bestFit="1" customWidth="1"/>
    <col min="4098" max="4098" width="15.125" style="210" customWidth="1"/>
    <col min="4099" max="4099" width="20.5" style="210" bestFit="1" customWidth="1"/>
    <col min="4100" max="4100" width="27.875" style="210" bestFit="1" customWidth="1"/>
    <col min="4101" max="4101" width="6.875" style="210" bestFit="1" customWidth="1"/>
    <col min="4102" max="4102" width="5" style="210" bestFit="1" customWidth="1"/>
    <col min="4103" max="4103" width="8" style="210" bestFit="1" customWidth="1"/>
    <col min="4104" max="4104" width="11.875" style="210" bestFit="1" customWidth="1"/>
    <col min="4105" max="4333" width="9" style="210"/>
    <col min="4334" max="4334" width="3.875" style="210" bestFit="1" customWidth="1"/>
    <col min="4335" max="4335" width="16" style="210" bestFit="1" customWidth="1"/>
    <col min="4336" max="4336" width="16.625" style="210" bestFit="1" customWidth="1"/>
    <col min="4337" max="4337" width="13.5" style="210" bestFit="1" customWidth="1"/>
    <col min="4338" max="4339" width="10.875" style="210" bestFit="1" customWidth="1"/>
    <col min="4340" max="4340" width="6.25" style="210" bestFit="1" customWidth="1"/>
    <col min="4341" max="4341" width="8.875" style="210" bestFit="1" customWidth="1"/>
    <col min="4342" max="4342" width="13.875" style="210" bestFit="1" customWidth="1"/>
    <col min="4343" max="4343" width="13.25" style="210" bestFit="1" customWidth="1"/>
    <col min="4344" max="4344" width="16" style="210" bestFit="1" customWidth="1"/>
    <col min="4345" max="4345" width="11.625" style="210" bestFit="1" customWidth="1"/>
    <col min="4346" max="4346" width="16.875" style="210" customWidth="1"/>
    <col min="4347" max="4347" width="13.25" style="210" customWidth="1"/>
    <col min="4348" max="4348" width="18.375" style="210" bestFit="1" customWidth="1"/>
    <col min="4349" max="4349" width="15" style="210" bestFit="1" customWidth="1"/>
    <col min="4350" max="4350" width="14.75" style="210" bestFit="1" customWidth="1"/>
    <col min="4351" max="4351" width="14.625" style="210" bestFit="1" customWidth="1"/>
    <col min="4352" max="4352" width="13.75" style="210" bestFit="1" customWidth="1"/>
    <col min="4353" max="4353" width="14.25" style="210" bestFit="1" customWidth="1"/>
    <col min="4354" max="4354" width="15.125" style="210" customWidth="1"/>
    <col min="4355" max="4355" width="20.5" style="210" bestFit="1" customWidth="1"/>
    <col min="4356" max="4356" width="27.875" style="210" bestFit="1" customWidth="1"/>
    <col min="4357" max="4357" width="6.875" style="210" bestFit="1" customWidth="1"/>
    <col min="4358" max="4358" width="5" style="210" bestFit="1" customWidth="1"/>
    <col min="4359" max="4359" width="8" style="210" bestFit="1" customWidth="1"/>
    <col min="4360" max="4360" width="11.875" style="210" bestFit="1" customWidth="1"/>
    <col min="4361" max="4589" width="9" style="210"/>
    <col min="4590" max="4590" width="3.875" style="210" bestFit="1" customWidth="1"/>
    <col min="4591" max="4591" width="16" style="210" bestFit="1" customWidth="1"/>
    <col min="4592" max="4592" width="16.625" style="210" bestFit="1" customWidth="1"/>
    <col min="4593" max="4593" width="13.5" style="210" bestFit="1" customWidth="1"/>
    <col min="4594" max="4595" width="10.875" style="210" bestFit="1" customWidth="1"/>
    <col min="4596" max="4596" width="6.25" style="210" bestFit="1" customWidth="1"/>
    <col min="4597" max="4597" width="8.875" style="210" bestFit="1" customWidth="1"/>
    <col min="4598" max="4598" width="13.875" style="210" bestFit="1" customWidth="1"/>
    <col min="4599" max="4599" width="13.25" style="210" bestFit="1" customWidth="1"/>
    <col min="4600" max="4600" width="16" style="210" bestFit="1" customWidth="1"/>
    <col min="4601" max="4601" width="11.625" style="210" bestFit="1" customWidth="1"/>
    <col min="4602" max="4602" width="16.875" style="210" customWidth="1"/>
    <col min="4603" max="4603" width="13.25" style="210" customWidth="1"/>
    <col min="4604" max="4604" width="18.375" style="210" bestFit="1" customWidth="1"/>
    <col min="4605" max="4605" width="15" style="210" bestFit="1" customWidth="1"/>
    <col min="4606" max="4606" width="14.75" style="210" bestFit="1" customWidth="1"/>
    <col min="4607" max="4607" width="14.625" style="210" bestFit="1" customWidth="1"/>
    <col min="4608" max="4608" width="13.75" style="210" bestFit="1" customWidth="1"/>
    <col min="4609" max="4609" width="14.25" style="210" bestFit="1" customWidth="1"/>
    <col min="4610" max="4610" width="15.125" style="210" customWidth="1"/>
    <col min="4611" max="4611" width="20.5" style="210" bestFit="1" customWidth="1"/>
    <col min="4612" max="4612" width="27.875" style="210" bestFit="1" customWidth="1"/>
    <col min="4613" max="4613" width="6.875" style="210" bestFit="1" customWidth="1"/>
    <col min="4614" max="4614" width="5" style="210" bestFit="1" customWidth="1"/>
    <col min="4615" max="4615" width="8" style="210" bestFit="1" customWidth="1"/>
    <col min="4616" max="4616" width="11.875" style="210" bestFit="1" customWidth="1"/>
    <col min="4617" max="4845" width="9" style="210"/>
    <col min="4846" max="4846" width="3.875" style="210" bestFit="1" customWidth="1"/>
    <col min="4847" max="4847" width="16" style="210" bestFit="1" customWidth="1"/>
    <col min="4848" max="4848" width="16.625" style="210" bestFit="1" customWidth="1"/>
    <col min="4849" max="4849" width="13.5" style="210" bestFit="1" customWidth="1"/>
    <col min="4850" max="4851" width="10.875" style="210" bestFit="1" customWidth="1"/>
    <col min="4852" max="4852" width="6.25" style="210" bestFit="1" customWidth="1"/>
    <col min="4853" max="4853" width="8.875" style="210" bestFit="1" customWidth="1"/>
    <col min="4854" max="4854" width="13.875" style="210" bestFit="1" customWidth="1"/>
    <col min="4855" max="4855" width="13.25" style="210" bestFit="1" customWidth="1"/>
    <col min="4856" max="4856" width="16" style="210" bestFit="1" customWidth="1"/>
    <col min="4857" max="4857" width="11.625" style="210" bestFit="1" customWidth="1"/>
    <col min="4858" max="4858" width="16.875" style="210" customWidth="1"/>
    <col min="4859" max="4859" width="13.25" style="210" customWidth="1"/>
    <col min="4860" max="4860" width="18.375" style="210" bestFit="1" customWidth="1"/>
    <col min="4861" max="4861" width="15" style="210" bestFit="1" customWidth="1"/>
    <col min="4862" max="4862" width="14.75" style="210" bestFit="1" customWidth="1"/>
    <col min="4863" max="4863" width="14.625" style="210" bestFit="1" customWidth="1"/>
    <col min="4864" max="4864" width="13.75" style="210" bestFit="1" customWidth="1"/>
    <col min="4865" max="4865" width="14.25" style="210" bestFit="1" customWidth="1"/>
    <col min="4866" max="4866" width="15.125" style="210" customWidth="1"/>
    <col min="4867" max="4867" width="20.5" style="210" bestFit="1" customWidth="1"/>
    <col min="4868" max="4868" width="27.875" style="210" bestFit="1" customWidth="1"/>
    <col min="4869" max="4869" width="6.875" style="210" bestFit="1" customWidth="1"/>
    <col min="4870" max="4870" width="5" style="210" bestFit="1" customWidth="1"/>
    <col min="4871" max="4871" width="8" style="210" bestFit="1" customWidth="1"/>
    <col min="4872" max="4872" width="11.875" style="210" bestFit="1" customWidth="1"/>
    <col min="4873" max="5101" width="9" style="210"/>
    <col min="5102" max="5102" width="3.875" style="210" bestFit="1" customWidth="1"/>
    <col min="5103" max="5103" width="16" style="210" bestFit="1" customWidth="1"/>
    <col min="5104" max="5104" width="16.625" style="210" bestFit="1" customWidth="1"/>
    <col min="5105" max="5105" width="13.5" style="210" bestFit="1" customWidth="1"/>
    <col min="5106" max="5107" width="10.875" style="210" bestFit="1" customWidth="1"/>
    <col min="5108" max="5108" width="6.25" style="210" bestFit="1" customWidth="1"/>
    <col min="5109" max="5109" width="8.875" style="210" bestFit="1" customWidth="1"/>
    <col min="5110" max="5110" width="13.875" style="210" bestFit="1" customWidth="1"/>
    <col min="5111" max="5111" width="13.25" style="210" bestFit="1" customWidth="1"/>
    <col min="5112" max="5112" width="16" style="210" bestFit="1" customWidth="1"/>
    <col min="5113" max="5113" width="11.625" style="210" bestFit="1" customWidth="1"/>
    <col min="5114" max="5114" width="16.875" style="210" customWidth="1"/>
    <col min="5115" max="5115" width="13.25" style="210" customWidth="1"/>
    <col min="5116" max="5116" width="18.375" style="210" bestFit="1" customWidth="1"/>
    <col min="5117" max="5117" width="15" style="210" bestFit="1" customWidth="1"/>
    <col min="5118" max="5118" width="14.75" style="210" bestFit="1" customWidth="1"/>
    <col min="5119" max="5119" width="14.625" style="210" bestFit="1" customWidth="1"/>
    <col min="5120" max="5120" width="13.75" style="210" bestFit="1" customWidth="1"/>
    <col min="5121" max="5121" width="14.25" style="210" bestFit="1" customWidth="1"/>
    <col min="5122" max="5122" width="15.125" style="210" customWidth="1"/>
    <col min="5123" max="5123" width="20.5" style="210" bestFit="1" customWidth="1"/>
    <col min="5124" max="5124" width="27.875" style="210" bestFit="1" customWidth="1"/>
    <col min="5125" max="5125" width="6.875" style="210" bestFit="1" customWidth="1"/>
    <col min="5126" max="5126" width="5" style="210" bestFit="1" customWidth="1"/>
    <col min="5127" max="5127" width="8" style="210" bestFit="1" customWidth="1"/>
    <col min="5128" max="5128" width="11.875" style="210" bestFit="1" customWidth="1"/>
    <col min="5129" max="5357" width="9" style="210"/>
    <col min="5358" max="5358" width="3.875" style="210" bestFit="1" customWidth="1"/>
    <col min="5359" max="5359" width="16" style="210" bestFit="1" customWidth="1"/>
    <col min="5360" max="5360" width="16.625" style="210" bestFit="1" customWidth="1"/>
    <col min="5361" max="5361" width="13.5" style="210" bestFit="1" customWidth="1"/>
    <col min="5362" max="5363" width="10.875" style="210" bestFit="1" customWidth="1"/>
    <col min="5364" max="5364" width="6.25" style="210" bestFit="1" customWidth="1"/>
    <col min="5365" max="5365" width="8.875" style="210" bestFit="1" customWidth="1"/>
    <col min="5366" max="5366" width="13.875" style="210" bestFit="1" customWidth="1"/>
    <col min="5367" max="5367" width="13.25" style="210" bestFit="1" customWidth="1"/>
    <col min="5368" max="5368" width="16" style="210" bestFit="1" customWidth="1"/>
    <col min="5369" max="5369" width="11.625" style="210" bestFit="1" customWidth="1"/>
    <col min="5370" max="5370" width="16.875" style="210" customWidth="1"/>
    <col min="5371" max="5371" width="13.25" style="210" customWidth="1"/>
    <col min="5372" max="5372" width="18.375" style="210" bestFit="1" customWidth="1"/>
    <col min="5373" max="5373" width="15" style="210" bestFit="1" customWidth="1"/>
    <col min="5374" max="5374" width="14.75" style="210" bestFit="1" customWidth="1"/>
    <col min="5375" max="5375" width="14.625" style="210" bestFit="1" customWidth="1"/>
    <col min="5376" max="5376" width="13.75" style="210" bestFit="1" customWidth="1"/>
    <col min="5377" max="5377" width="14.25" style="210" bestFit="1" customWidth="1"/>
    <col min="5378" max="5378" width="15.125" style="210" customWidth="1"/>
    <col min="5379" max="5379" width="20.5" style="210" bestFit="1" customWidth="1"/>
    <col min="5380" max="5380" width="27.875" style="210" bestFit="1" customWidth="1"/>
    <col min="5381" max="5381" width="6.875" style="210" bestFit="1" customWidth="1"/>
    <col min="5382" max="5382" width="5" style="210" bestFit="1" customWidth="1"/>
    <col min="5383" max="5383" width="8" style="210" bestFit="1" customWidth="1"/>
    <col min="5384" max="5384" width="11.875" style="210" bestFit="1" customWidth="1"/>
    <col min="5385" max="5613" width="9" style="210"/>
    <col min="5614" max="5614" width="3.875" style="210" bestFit="1" customWidth="1"/>
    <col min="5615" max="5615" width="16" style="210" bestFit="1" customWidth="1"/>
    <col min="5616" max="5616" width="16.625" style="210" bestFit="1" customWidth="1"/>
    <col min="5617" max="5617" width="13.5" style="210" bestFit="1" customWidth="1"/>
    <col min="5618" max="5619" width="10.875" style="210" bestFit="1" customWidth="1"/>
    <col min="5620" max="5620" width="6.25" style="210" bestFit="1" customWidth="1"/>
    <col min="5621" max="5621" width="8.875" style="210" bestFit="1" customWidth="1"/>
    <col min="5622" max="5622" width="13.875" style="210" bestFit="1" customWidth="1"/>
    <col min="5623" max="5623" width="13.25" style="210" bestFit="1" customWidth="1"/>
    <col min="5624" max="5624" width="16" style="210" bestFit="1" customWidth="1"/>
    <col min="5625" max="5625" width="11.625" style="210" bestFit="1" customWidth="1"/>
    <col min="5626" max="5626" width="16.875" style="210" customWidth="1"/>
    <col min="5627" max="5627" width="13.25" style="210" customWidth="1"/>
    <col min="5628" max="5628" width="18.375" style="210" bestFit="1" customWidth="1"/>
    <col min="5629" max="5629" width="15" style="210" bestFit="1" customWidth="1"/>
    <col min="5630" max="5630" width="14.75" style="210" bestFit="1" customWidth="1"/>
    <col min="5631" max="5631" width="14.625" style="210" bestFit="1" customWidth="1"/>
    <col min="5632" max="5632" width="13.75" style="210" bestFit="1" customWidth="1"/>
    <col min="5633" max="5633" width="14.25" style="210" bestFit="1" customWidth="1"/>
    <col min="5634" max="5634" width="15.125" style="210" customWidth="1"/>
    <col min="5635" max="5635" width="20.5" style="210" bestFit="1" customWidth="1"/>
    <col min="5636" max="5636" width="27.875" style="210" bestFit="1" customWidth="1"/>
    <col min="5637" max="5637" width="6.875" style="210" bestFit="1" customWidth="1"/>
    <col min="5638" max="5638" width="5" style="210" bestFit="1" customWidth="1"/>
    <col min="5639" max="5639" width="8" style="210" bestFit="1" customWidth="1"/>
    <col min="5640" max="5640" width="11.875" style="210" bestFit="1" customWidth="1"/>
    <col min="5641" max="5869" width="9" style="210"/>
    <col min="5870" max="5870" width="3.875" style="210" bestFit="1" customWidth="1"/>
    <col min="5871" max="5871" width="16" style="210" bestFit="1" customWidth="1"/>
    <col min="5872" max="5872" width="16.625" style="210" bestFit="1" customWidth="1"/>
    <col min="5873" max="5873" width="13.5" style="210" bestFit="1" customWidth="1"/>
    <col min="5874" max="5875" width="10.875" style="210" bestFit="1" customWidth="1"/>
    <col min="5876" max="5876" width="6.25" style="210" bestFit="1" customWidth="1"/>
    <col min="5877" max="5877" width="8.875" style="210" bestFit="1" customWidth="1"/>
    <col min="5878" max="5878" width="13.875" style="210" bestFit="1" customWidth="1"/>
    <col min="5879" max="5879" width="13.25" style="210" bestFit="1" customWidth="1"/>
    <col min="5880" max="5880" width="16" style="210" bestFit="1" customWidth="1"/>
    <col min="5881" max="5881" width="11.625" style="210" bestFit="1" customWidth="1"/>
    <col min="5882" max="5882" width="16.875" style="210" customWidth="1"/>
    <col min="5883" max="5883" width="13.25" style="210" customWidth="1"/>
    <col min="5884" max="5884" width="18.375" style="210" bestFit="1" customWidth="1"/>
    <col min="5885" max="5885" width="15" style="210" bestFit="1" customWidth="1"/>
    <col min="5886" max="5886" width="14.75" style="210" bestFit="1" customWidth="1"/>
    <col min="5887" max="5887" width="14.625" style="210" bestFit="1" customWidth="1"/>
    <col min="5888" max="5888" width="13.75" style="210" bestFit="1" customWidth="1"/>
    <col min="5889" max="5889" width="14.25" style="210" bestFit="1" customWidth="1"/>
    <col min="5890" max="5890" width="15.125" style="210" customWidth="1"/>
    <col min="5891" max="5891" width="20.5" style="210" bestFit="1" customWidth="1"/>
    <col min="5892" max="5892" width="27.875" style="210" bestFit="1" customWidth="1"/>
    <col min="5893" max="5893" width="6.875" style="210" bestFit="1" customWidth="1"/>
    <col min="5894" max="5894" width="5" style="210" bestFit="1" customWidth="1"/>
    <col min="5895" max="5895" width="8" style="210" bestFit="1" customWidth="1"/>
    <col min="5896" max="5896" width="11.875" style="210" bestFit="1" customWidth="1"/>
    <col min="5897" max="6125" width="9" style="210"/>
    <col min="6126" max="6126" width="3.875" style="210" bestFit="1" customWidth="1"/>
    <col min="6127" max="6127" width="16" style="210" bestFit="1" customWidth="1"/>
    <col min="6128" max="6128" width="16.625" style="210" bestFit="1" customWidth="1"/>
    <col min="6129" max="6129" width="13.5" style="210" bestFit="1" customWidth="1"/>
    <col min="6130" max="6131" width="10.875" style="210" bestFit="1" customWidth="1"/>
    <col min="6132" max="6132" width="6.25" style="210" bestFit="1" customWidth="1"/>
    <col min="6133" max="6133" width="8.875" style="210" bestFit="1" customWidth="1"/>
    <col min="6134" max="6134" width="13.875" style="210" bestFit="1" customWidth="1"/>
    <col min="6135" max="6135" width="13.25" style="210" bestFit="1" customWidth="1"/>
    <col min="6136" max="6136" width="16" style="210" bestFit="1" customWidth="1"/>
    <col min="6137" max="6137" width="11.625" style="210" bestFit="1" customWidth="1"/>
    <col min="6138" max="6138" width="16.875" style="210" customWidth="1"/>
    <col min="6139" max="6139" width="13.25" style="210" customWidth="1"/>
    <col min="6140" max="6140" width="18.375" style="210" bestFit="1" customWidth="1"/>
    <col min="6141" max="6141" width="15" style="210" bestFit="1" customWidth="1"/>
    <col min="6142" max="6142" width="14.75" style="210" bestFit="1" customWidth="1"/>
    <col min="6143" max="6143" width="14.625" style="210" bestFit="1" customWidth="1"/>
    <col min="6144" max="6144" width="13.75" style="210" bestFit="1" customWidth="1"/>
    <col min="6145" max="6145" width="14.25" style="210" bestFit="1" customWidth="1"/>
    <col min="6146" max="6146" width="15.125" style="210" customWidth="1"/>
    <col min="6147" max="6147" width="20.5" style="210" bestFit="1" customWidth="1"/>
    <col min="6148" max="6148" width="27.875" style="210" bestFit="1" customWidth="1"/>
    <col min="6149" max="6149" width="6.875" style="210" bestFit="1" customWidth="1"/>
    <col min="6150" max="6150" width="5" style="210" bestFit="1" customWidth="1"/>
    <col min="6151" max="6151" width="8" style="210" bestFit="1" customWidth="1"/>
    <col min="6152" max="6152" width="11.875" style="210" bestFit="1" customWidth="1"/>
    <col min="6153" max="6381" width="9" style="210"/>
    <col min="6382" max="6382" width="3.875" style="210" bestFit="1" customWidth="1"/>
    <col min="6383" max="6383" width="16" style="210" bestFit="1" customWidth="1"/>
    <col min="6384" max="6384" width="16.625" style="210" bestFit="1" customWidth="1"/>
    <col min="6385" max="6385" width="13.5" style="210" bestFit="1" customWidth="1"/>
    <col min="6386" max="6387" width="10.875" style="210" bestFit="1" customWidth="1"/>
    <col min="6388" max="6388" width="6.25" style="210" bestFit="1" customWidth="1"/>
    <col min="6389" max="6389" width="8.875" style="210" bestFit="1" customWidth="1"/>
    <col min="6390" max="6390" width="13.875" style="210" bestFit="1" customWidth="1"/>
    <col min="6391" max="6391" width="13.25" style="210" bestFit="1" customWidth="1"/>
    <col min="6392" max="6392" width="16" style="210" bestFit="1" customWidth="1"/>
    <col min="6393" max="6393" width="11.625" style="210" bestFit="1" customWidth="1"/>
    <col min="6394" max="6394" width="16.875" style="210" customWidth="1"/>
    <col min="6395" max="6395" width="13.25" style="210" customWidth="1"/>
    <col min="6396" max="6396" width="18.375" style="210" bestFit="1" customWidth="1"/>
    <col min="6397" max="6397" width="15" style="210" bestFit="1" customWidth="1"/>
    <col min="6398" max="6398" width="14.75" style="210" bestFit="1" customWidth="1"/>
    <col min="6399" max="6399" width="14.625" style="210" bestFit="1" customWidth="1"/>
    <col min="6400" max="6400" width="13.75" style="210" bestFit="1" customWidth="1"/>
    <col min="6401" max="6401" width="14.25" style="210" bestFit="1" customWidth="1"/>
    <col min="6402" max="6402" width="15.125" style="210" customWidth="1"/>
    <col min="6403" max="6403" width="20.5" style="210" bestFit="1" customWidth="1"/>
    <col min="6404" max="6404" width="27.875" style="210" bestFit="1" customWidth="1"/>
    <col min="6405" max="6405" width="6.875" style="210" bestFit="1" customWidth="1"/>
    <col min="6406" max="6406" width="5" style="210" bestFit="1" customWidth="1"/>
    <col min="6407" max="6407" width="8" style="210" bestFit="1" customWidth="1"/>
    <col min="6408" max="6408" width="11.875" style="210" bestFit="1" customWidth="1"/>
    <col min="6409" max="6637" width="9" style="210"/>
    <col min="6638" max="6638" width="3.875" style="210" bestFit="1" customWidth="1"/>
    <col min="6639" max="6639" width="16" style="210" bestFit="1" customWidth="1"/>
    <col min="6640" max="6640" width="16.625" style="210" bestFit="1" customWidth="1"/>
    <col min="6641" max="6641" width="13.5" style="210" bestFit="1" customWidth="1"/>
    <col min="6642" max="6643" width="10.875" style="210" bestFit="1" customWidth="1"/>
    <col min="6644" max="6644" width="6.25" style="210" bestFit="1" customWidth="1"/>
    <col min="6645" max="6645" width="8.875" style="210" bestFit="1" customWidth="1"/>
    <col min="6646" max="6646" width="13.875" style="210" bestFit="1" customWidth="1"/>
    <col min="6647" max="6647" width="13.25" style="210" bestFit="1" customWidth="1"/>
    <col min="6648" max="6648" width="16" style="210" bestFit="1" customWidth="1"/>
    <col min="6649" max="6649" width="11.625" style="210" bestFit="1" customWidth="1"/>
    <col min="6650" max="6650" width="16.875" style="210" customWidth="1"/>
    <col min="6651" max="6651" width="13.25" style="210" customWidth="1"/>
    <col min="6652" max="6652" width="18.375" style="210" bestFit="1" customWidth="1"/>
    <col min="6653" max="6653" width="15" style="210" bestFit="1" customWidth="1"/>
    <col min="6654" max="6654" width="14.75" style="210" bestFit="1" customWidth="1"/>
    <col min="6655" max="6655" width="14.625" style="210" bestFit="1" customWidth="1"/>
    <col min="6656" max="6656" width="13.75" style="210" bestFit="1" customWidth="1"/>
    <col min="6657" max="6657" width="14.25" style="210" bestFit="1" customWidth="1"/>
    <col min="6658" max="6658" width="15.125" style="210" customWidth="1"/>
    <col min="6659" max="6659" width="20.5" style="210" bestFit="1" customWidth="1"/>
    <col min="6660" max="6660" width="27.875" style="210" bestFit="1" customWidth="1"/>
    <col min="6661" max="6661" width="6.875" style="210" bestFit="1" customWidth="1"/>
    <col min="6662" max="6662" width="5" style="210" bestFit="1" customWidth="1"/>
    <col min="6663" max="6663" width="8" style="210" bestFit="1" customWidth="1"/>
    <col min="6664" max="6664" width="11.875" style="210" bestFit="1" customWidth="1"/>
    <col min="6665" max="6893" width="9" style="210"/>
    <col min="6894" max="6894" width="3.875" style="210" bestFit="1" customWidth="1"/>
    <col min="6895" max="6895" width="16" style="210" bestFit="1" customWidth="1"/>
    <col min="6896" max="6896" width="16.625" style="210" bestFit="1" customWidth="1"/>
    <col min="6897" max="6897" width="13.5" style="210" bestFit="1" customWidth="1"/>
    <col min="6898" max="6899" width="10.875" style="210" bestFit="1" customWidth="1"/>
    <col min="6900" max="6900" width="6.25" style="210" bestFit="1" customWidth="1"/>
    <col min="6901" max="6901" width="8.875" style="210" bestFit="1" customWidth="1"/>
    <col min="6902" max="6902" width="13.875" style="210" bestFit="1" customWidth="1"/>
    <col min="6903" max="6903" width="13.25" style="210" bestFit="1" customWidth="1"/>
    <col min="6904" max="6904" width="16" style="210" bestFit="1" customWidth="1"/>
    <col min="6905" max="6905" width="11.625" style="210" bestFit="1" customWidth="1"/>
    <col min="6906" max="6906" width="16.875" style="210" customWidth="1"/>
    <col min="6907" max="6907" width="13.25" style="210" customWidth="1"/>
    <col min="6908" max="6908" width="18.375" style="210" bestFit="1" customWidth="1"/>
    <col min="6909" max="6909" width="15" style="210" bestFit="1" customWidth="1"/>
    <col min="6910" max="6910" width="14.75" style="210" bestFit="1" customWidth="1"/>
    <col min="6911" max="6911" width="14.625" style="210" bestFit="1" customWidth="1"/>
    <col min="6912" max="6912" width="13.75" style="210" bestFit="1" customWidth="1"/>
    <col min="6913" max="6913" width="14.25" style="210" bestFit="1" customWidth="1"/>
    <col min="6914" max="6914" width="15.125" style="210" customWidth="1"/>
    <col min="6915" max="6915" width="20.5" style="210" bestFit="1" customWidth="1"/>
    <col min="6916" max="6916" width="27.875" style="210" bestFit="1" customWidth="1"/>
    <col min="6917" max="6917" width="6.875" style="210" bestFit="1" customWidth="1"/>
    <col min="6918" max="6918" width="5" style="210" bestFit="1" customWidth="1"/>
    <col min="6919" max="6919" width="8" style="210" bestFit="1" customWidth="1"/>
    <col min="6920" max="6920" width="11.875" style="210" bestFit="1" customWidth="1"/>
    <col min="6921" max="7149" width="9" style="210"/>
    <col min="7150" max="7150" width="3.875" style="210" bestFit="1" customWidth="1"/>
    <col min="7151" max="7151" width="16" style="210" bestFit="1" customWidth="1"/>
    <col min="7152" max="7152" width="16.625" style="210" bestFit="1" customWidth="1"/>
    <col min="7153" max="7153" width="13.5" style="210" bestFit="1" customWidth="1"/>
    <col min="7154" max="7155" width="10.875" style="210" bestFit="1" customWidth="1"/>
    <col min="7156" max="7156" width="6.25" style="210" bestFit="1" customWidth="1"/>
    <col min="7157" max="7157" width="8.875" style="210" bestFit="1" customWidth="1"/>
    <col min="7158" max="7158" width="13.875" style="210" bestFit="1" customWidth="1"/>
    <col min="7159" max="7159" width="13.25" style="210" bestFit="1" customWidth="1"/>
    <col min="7160" max="7160" width="16" style="210" bestFit="1" customWidth="1"/>
    <col min="7161" max="7161" width="11.625" style="210" bestFit="1" customWidth="1"/>
    <col min="7162" max="7162" width="16.875" style="210" customWidth="1"/>
    <col min="7163" max="7163" width="13.25" style="210" customWidth="1"/>
    <col min="7164" max="7164" width="18.375" style="210" bestFit="1" customWidth="1"/>
    <col min="7165" max="7165" width="15" style="210" bestFit="1" customWidth="1"/>
    <col min="7166" max="7166" width="14.75" style="210" bestFit="1" customWidth="1"/>
    <col min="7167" max="7167" width="14.625" style="210" bestFit="1" customWidth="1"/>
    <col min="7168" max="7168" width="13.75" style="210" bestFit="1" customWidth="1"/>
    <col min="7169" max="7169" width="14.25" style="210" bestFit="1" customWidth="1"/>
    <col min="7170" max="7170" width="15.125" style="210" customWidth="1"/>
    <col min="7171" max="7171" width="20.5" style="210" bestFit="1" customWidth="1"/>
    <col min="7172" max="7172" width="27.875" style="210" bestFit="1" customWidth="1"/>
    <col min="7173" max="7173" width="6.875" style="210" bestFit="1" customWidth="1"/>
    <col min="7174" max="7174" width="5" style="210" bestFit="1" customWidth="1"/>
    <col min="7175" max="7175" width="8" style="210" bestFit="1" customWidth="1"/>
    <col min="7176" max="7176" width="11.875" style="210" bestFit="1" customWidth="1"/>
    <col min="7177" max="7405" width="9" style="210"/>
    <col min="7406" max="7406" width="3.875" style="210" bestFit="1" customWidth="1"/>
    <col min="7407" max="7407" width="16" style="210" bestFit="1" customWidth="1"/>
    <col min="7408" max="7408" width="16.625" style="210" bestFit="1" customWidth="1"/>
    <col min="7409" max="7409" width="13.5" style="210" bestFit="1" customWidth="1"/>
    <col min="7410" max="7411" width="10.875" style="210" bestFit="1" customWidth="1"/>
    <col min="7412" max="7412" width="6.25" style="210" bestFit="1" customWidth="1"/>
    <col min="7413" max="7413" width="8.875" style="210" bestFit="1" customWidth="1"/>
    <col min="7414" max="7414" width="13.875" style="210" bestFit="1" customWidth="1"/>
    <col min="7415" max="7415" width="13.25" style="210" bestFit="1" customWidth="1"/>
    <col min="7416" max="7416" width="16" style="210" bestFit="1" customWidth="1"/>
    <col min="7417" max="7417" width="11.625" style="210" bestFit="1" customWidth="1"/>
    <col min="7418" max="7418" width="16.875" style="210" customWidth="1"/>
    <col min="7419" max="7419" width="13.25" style="210" customWidth="1"/>
    <col min="7420" max="7420" width="18.375" style="210" bestFit="1" customWidth="1"/>
    <col min="7421" max="7421" width="15" style="210" bestFit="1" customWidth="1"/>
    <col min="7422" max="7422" width="14.75" style="210" bestFit="1" customWidth="1"/>
    <col min="7423" max="7423" width="14.625" style="210" bestFit="1" customWidth="1"/>
    <col min="7424" max="7424" width="13.75" style="210" bestFit="1" customWidth="1"/>
    <col min="7425" max="7425" width="14.25" style="210" bestFit="1" customWidth="1"/>
    <col min="7426" max="7426" width="15.125" style="210" customWidth="1"/>
    <col min="7427" max="7427" width="20.5" style="210" bestFit="1" customWidth="1"/>
    <col min="7428" max="7428" width="27.875" style="210" bestFit="1" customWidth="1"/>
    <col min="7429" max="7429" width="6.875" style="210" bestFit="1" customWidth="1"/>
    <col min="7430" max="7430" width="5" style="210" bestFit="1" customWidth="1"/>
    <col min="7431" max="7431" width="8" style="210" bestFit="1" customWidth="1"/>
    <col min="7432" max="7432" width="11.875" style="210" bestFit="1" customWidth="1"/>
    <col min="7433" max="7661" width="9" style="210"/>
    <col min="7662" max="7662" width="3.875" style="210" bestFit="1" customWidth="1"/>
    <col min="7663" max="7663" width="16" style="210" bestFit="1" customWidth="1"/>
    <col min="7664" max="7664" width="16.625" style="210" bestFit="1" customWidth="1"/>
    <col min="7665" max="7665" width="13.5" style="210" bestFit="1" customWidth="1"/>
    <col min="7666" max="7667" width="10.875" style="210" bestFit="1" customWidth="1"/>
    <col min="7668" max="7668" width="6.25" style="210" bestFit="1" customWidth="1"/>
    <col min="7669" max="7669" width="8.875" style="210" bestFit="1" customWidth="1"/>
    <col min="7670" max="7670" width="13.875" style="210" bestFit="1" customWidth="1"/>
    <col min="7671" max="7671" width="13.25" style="210" bestFit="1" customWidth="1"/>
    <col min="7672" max="7672" width="16" style="210" bestFit="1" customWidth="1"/>
    <col min="7673" max="7673" width="11.625" style="210" bestFit="1" customWidth="1"/>
    <col min="7674" max="7674" width="16.875" style="210" customWidth="1"/>
    <col min="7675" max="7675" width="13.25" style="210" customWidth="1"/>
    <col min="7676" max="7676" width="18.375" style="210" bestFit="1" customWidth="1"/>
    <col min="7677" max="7677" width="15" style="210" bestFit="1" customWidth="1"/>
    <col min="7678" max="7678" width="14.75" style="210" bestFit="1" customWidth="1"/>
    <col min="7679" max="7679" width="14.625" style="210" bestFit="1" customWidth="1"/>
    <col min="7680" max="7680" width="13.75" style="210" bestFit="1" customWidth="1"/>
    <col min="7681" max="7681" width="14.25" style="210" bestFit="1" customWidth="1"/>
    <col min="7682" max="7682" width="15.125" style="210" customWidth="1"/>
    <col min="7683" max="7683" width="20.5" style="210" bestFit="1" customWidth="1"/>
    <col min="7684" max="7684" width="27.875" style="210" bestFit="1" customWidth="1"/>
    <col min="7685" max="7685" width="6.875" style="210" bestFit="1" customWidth="1"/>
    <col min="7686" max="7686" width="5" style="210" bestFit="1" customWidth="1"/>
    <col min="7687" max="7687" width="8" style="210" bestFit="1" customWidth="1"/>
    <col min="7688" max="7688" width="11.875" style="210" bestFit="1" customWidth="1"/>
    <col min="7689" max="7917" width="9" style="210"/>
    <col min="7918" max="7918" width="3.875" style="210" bestFit="1" customWidth="1"/>
    <col min="7919" max="7919" width="16" style="210" bestFit="1" customWidth="1"/>
    <col min="7920" max="7920" width="16.625" style="210" bestFit="1" customWidth="1"/>
    <col min="7921" max="7921" width="13.5" style="210" bestFit="1" customWidth="1"/>
    <col min="7922" max="7923" width="10.875" style="210" bestFit="1" customWidth="1"/>
    <col min="7924" max="7924" width="6.25" style="210" bestFit="1" customWidth="1"/>
    <col min="7925" max="7925" width="8.875" style="210" bestFit="1" customWidth="1"/>
    <col min="7926" max="7926" width="13.875" style="210" bestFit="1" customWidth="1"/>
    <col min="7927" max="7927" width="13.25" style="210" bestFit="1" customWidth="1"/>
    <col min="7928" max="7928" width="16" style="210" bestFit="1" customWidth="1"/>
    <col min="7929" max="7929" width="11.625" style="210" bestFit="1" customWidth="1"/>
    <col min="7930" max="7930" width="16.875" style="210" customWidth="1"/>
    <col min="7931" max="7931" width="13.25" style="210" customWidth="1"/>
    <col min="7932" max="7932" width="18.375" style="210" bestFit="1" customWidth="1"/>
    <col min="7933" max="7933" width="15" style="210" bestFit="1" customWidth="1"/>
    <col min="7934" max="7934" width="14.75" style="210" bestFit="1" customWidth="1"/>
    <col min="7935" max="7935" width="14.625" style="210" bestFit="1" customWidth="1"/>
    <col min="7936" max="7936" width="13.75" style="210" bestFit="1" customWidth="1"/>
    <col min="7937" max="7937" width="14.25" style="210" bestFit="1" customWidth="1"/>
    <col min="7938" max="7938" width="15.125" style="210" customWidth="1"/>
    <col min="7939" max="7939" width="20.5" style="210" bestFit="1" customWidth="1"/>
    <col min="7940" max="7940" width="27.875" style="210" bestFit="1" customWidth="1"/>
    <col min="7941" max="7941" width="6.875" style="210" bestFit="1" customWidth="1"/>
    <col min="7942" max="7942" width="5" style="210" bestFit="1" customWidth="1"/>
    <col min="7943" max="7943" width="8" style="210" bestFit="1" customWidth="1"/>
    <col min="7944" max="7944" width="11.875" style="210" bestFit="1" customWidth="1"/>
    <col min="7945" max="8173" width="9" style="210"/>
    <col min="8174" max="8174" width="3.875" style="210" bestFit="1" customWidth="1"/>
    <col min="8175" max="8175" width="16" style="210" bestFit="1" customWidth="1"/>
    <col min="8176" max="8176" width="16.625" style="210" bestFit="1" customWidth="1"/>
    <col min="8177" max="8177" width="13.5" style="210" bestFit="1" customWidth="1"/>
    <col min="8178" max="8179" width="10.875" style="210" bestFit="1" customWidth="1"/>
    <col min="8180" max="8180" width="6.25" style="210" bestFit="1" customWidth="1"/>
    <col min="8181" max="8181" width="8.875" style="210" bestFit="1" customWidth="1"/>
    <col min="8182" max="8182" width="13.875" style="210" bestFit="1" customWidth="1"/>
    <col min="8183" max="8183" width="13.25" style="210" bestFit="1" customWidth="1"/>
    <col min="8184" max="8184" width="16" style="210" bestFit="1" customWidth="1"/>
    <col min="8185" max="8185" width="11.625" style="210" bestFit="1" customWidth="1"/>
    <col min="8186" max="8186" width="16.875" style="210" customWidth="1"/>
    <col min="8187" max="8187" width="13.25" style="210" customWidth="1"/>
    <col min="8188" max="8188" width="18.375" style="210" bestFit="1" customWidth="1"/>
    <col min="8189" max="8189" width="15" style="210" bestFit="1" customWidth="1"/>
    <col min="8190" max="8190" width="14.75" style="210" bestFit="1" customWidth="1"/>
    <col min="8191" max="8191" width="14.625" style="210" bestFit="1" customWidth="1"/>
    <col min="8192" max="8192" width="13.75" style="210" bestFit="1" customWidth="1"/>
    <col min="8193" max="8193" width="14.25" style="210" bestFit="1" customWidth="1"/>
    <col min="8194" max="8194" width="15.125" style="210" customWidth="1"/>
    <col min="8195" max="8195" width="20.5" style="210" bestFit="1" customWidth="1"/>
    <col min="8196" max="8196" width="27.875" style="210" bestFit="1" customWidth="1"/>
    <col min="8197" max="8197" width="6.875" style="210" bestFit="1" customWidth="1"/>
    <col min="8198" max="8198" width="5" style="210" bestFit="1" customWidth="1"/>
    <col min="8199" max="8199" width="8" style="210" bestFit="1" customWidth="1"/>
    <col min="8200" max="8200" width="11.875" style="210" bestFit="1" customWidth="1"/>
    <col min="8201" max="8429" width="9" style="210"/>
    <col min="8430" max="8430" width="3.875" style="210" bestFit="1" customWidth="1"/>
    <col min="8431" max="8431" width="16" style="210" bestFit="1" customWidth="1"/>
    <col min="8432" max="8432" width="16.625" style="210" bestFit="1" customWidth="1"/>
    <col min="8433" max="8433" width="13.5" style="210" bestFit="1" customWidth="1"/>
    <col min="8434" max="8435" width="10.875" style="210" bestFit="1" customWidth="1"/>
    <col min="8436" max="8436" width="6.25" style="210" bestFit="1" customWidth="1"/>
    <col min="8437" max="8437" width="8.875" style="210" bestFit="1" customWidth="1"/>
    <col min="8438" max="8438" width="13.875" style="210" bestFit="1" customWidth="1"/>
    <col min="8439" max="8439" width="13.25" style="210" bestFit="1" customWidth="1"/>
    <col min="8440" max="8440" width="16" style="210" bestFit="1" customWidth="1"/>
    <col min="8441" max="8441" width="11.625" style="210" bestFit="1" customWidth="1"/>
    <col min="8442" max="8442" width="16.875" style="210" customWidth="1"/>
    <col min="8443" max="8443" width="13.25" style="210" customWidth="1"/>
    <col min="8444" max="8444" width="18.375" style="210" bestFit="1" customWidth="1"/>
    <col min="8445" max="8445" width="15" style="210" bestFit="1" customWidth="1"/>
    <col min="8446" max="8446" width="14.75" style="210" bestFit="1" customWidth="1"/>
    <col min="8447" max="8447" width="14.625" style="210" bestFit="1" customWidth="1"/>
    <col min="8448" max="8448" width="13.75" style="210" bestFit="1" customWidth="1"/>
    <col min="8449" max="8449" width="14.25" style="210" bestFit="1" customWidth="1"/>
    <col min="8450" max="8450" width="15.125" style="210" customWidth="1"/>
    <col min="8451" max="8451" width="20.5" style="210" bestFit="1" customWidth="1"/>
    <col min="8452" max="8452" width="27.875" style="210" bestFit="1" customWidth="1"/>
    <col min="8453" max="8453" width="6.875" style="210" bestFit="1" customWidth="1"/>
    <col min="8454" max="8454" width="5" style="210" bestFit="1" customWidth="1"/>
    <col min="8455" max="8455" width="8" style="210" bestFit="1" customWidth="1"/>
    <col min="8456" max="8456" width="11.875" style="210" bestFit="1" customWidth="1"/>
    <col min="8457" max="8685" width="9" style="210"/>
    <col min="8686" max="8686" width="3.875" style="210" bestFit="1" customWidth="1"/>
    <col min="8687" max="8687" width="16" style="210" bestFit="1" customWidth="1"/>
    <col min="8688" max="8688" width="16.625" style="210" bestFit="1" customWidth="1"/>
    <col min="8689" max="8689" width="13.5" style="210" bestFit="1" customWidth="1"/>
    <col min="8690" max="8691" width="10.875" style="210" bestFit="1" customWidth="1"/>
    <col min="8692" max="8692" width="6.25" style="210" bestFit="1" customWidth="1"/>
    <col min="8693" max="8693" width="8.875" style="210" bestFit="1" customWidth="1"/>
    <col min="8694" max="8694" width="13.875" style="210" bestFit="1" customWidth="1"/>
    <col min="8695" max="8695" width="13.25" style="210" bestFit="1" customWidth="1"/>
    <col min="8696" max="8696" width="16" style="210" bestFit="1" customWidth="1"/>
    <col min="8697" max="8697" width="11.625" style="210" bestFit="1" customWidth="1"/>
    <col min="8698" max="8698" width="16.875" style="210" customWidth="1"/>
    <col min="8699" max="8699" width="13.25" style="210" customWidth="1"/>
    <col min="8700" max="8700" width="18.375" style="210" bestFit="1" customWidth="1"/>
    <col min="8701" max="8701" width="15" style="210" bestFit="1" customWidth="1"/>
    <col min="8702" max="8702" width="14.75" style="210" bestFit="1" customWidth="1"/>
    <col min="8703" max="8703" width="14.625" style="210" bestFit="1" customWidth="1"/>
    <col min="8704" max="8704" width="13.75" style="210" bestFit="1" customWidth="1"/>
    <col min="8705" max="8705" width="14.25" style="210" bestFit="1" customWidth="1"/>
    <col min="8706" max="8706" width="15.125" style="210" customWidth="1"/>
    <col min="8707" max="8707" width="20.5" style="210" bestFit="1" customWidth="1"/>
    <col min="8708" max="8708" width="27.875" style="210" bestFit="1" customWidth="1"/>
    <col min="8709" max="8709" width="6.875" style="210" bestFit="1" customWidth="1"/>
    <col min="8710" max="8710" width="5" style="210" bestFit="1" customWidth="1"/>
    <col min="8711" max="8711" width="8" style="210" bestFit="1" customWidth="1"/>
    <col min="8712" max="8712" width="11.875" style="210" bestFit="1" customWidth="1"/>
    <col min="8713" max="8941" width="9" style="210"/>
    <col min="8942" max="8942" width="3.875" style="210" bestFit="1" customWidth="1"/>
    <col min="8943" max="8943" width="16" style="210" bestFit="1" customWidth="1"/>
    <col min="8944" max="8944" width="16.625" style="210" bestFit="1" customWidth="1"/>
    <col min="8945" max="8945" width="13.5" style="210" bestFit="1" customWidth="1"/>
    <col min="8946" max="8947" width="10.875" style="210" bestFit="1" customWidth="1"/>
    <col min="8948" max="8948" width="6.25" style="210" bestFit="1" customWidth="1"/>
    <col min="8949" max="8949" width="8.875" style="210" bestFit="1" customWidth="1"/>
    <col min="8950" max="8950" width="13.875" style="210" bestFit="1" customWidth="1"/>
    <col min="8951" max="8951" width="13.25" style="210" bestFit="1" customWidth="1"/>
    <col min="8952" max="8952" width="16" style="210" bestFit="1" customWidth="1"/>
    <col min="8953" max="8953" width="11.625" style="210" bestFit="1" customWidth="1"/>
    <col min="8954" max="8954" width="16.875" style="210" customWidth="1"/>
    <col min="8955" max="8955" width="13.25" style="210" customWidth="1"/>
    <col min="8956" max="8956" width="18.375" style="210" bestFit="1" customWidth="1"/>
    <col min="8957" max="8957" width="15" style="210" bestFit="1" customWidth="1"/>
    <col min="8958" max="8958" width="14.75" style="210" bestFit="1" customWidth="1"/>
    <col min="8959" max="8959" width="14.625" style="210" bestFit="1" customWidth="1"/>
    <col min="8960" max="8960" width="13.75" style="210" bestFit="1" customWidth="1"/>
    <col min="8961" max="8961" width="14.25" style="210" bestFit="1" customWidth="1"/>
    <col min="8962" max="8962" width="15.125" style="210" customWidth="1"/>
    <col min="8963" max="8963" width="20.5" style="210" bestFit="1" customWidth="1"/>
    <col min="8964" max="8964" width="27.875" style="210" bestFit="1" customWidth="1"/>
    <col min="8965" max="8965" width="6.875" style="210" bestFit="1" customWidth="1"/>
    <col min="8966" max="8966" width="5" style="210" bestFit="1" customWidth="1"/>
    <col min="8967" max="8967" width="8" style="210" bestFit="1" customWidth="1"/>
    <col min="8968" max="8968" width="11.875" style="210" bestFit="1" customWidth="1"/>
    <col min="8969" max="9197" width="9" style="210"/>
    <col min="9198" max="9198" width="3.875" style="210" bestFit="1" customWidth="1"/>
    <col min="9199" max="9199" width="16" style="210" bestFit="1" customWidth="1"/>
    <col min="9200" max="9200" width="16.625" style="210" bestFit="1" customWidth="1"/>
    <col min="9201" max="9201" width="13.5" style="210" bestFit="1" customWidth="1"/>
    <col min="9202" max="9203" width="10.875" style="210" bestFit="1" customWidth="1"/>
    <col min="9204" max="9204" width="6.25" style="210" bestFit="1" customWidth="1"/>
    <col min="9205" max="9205" width="8.875" style="210" bestFit="1" customWidth="1"/>
    <col min="9206" max="9206" width="13.875" style="210" bestFit="1" customWidth="1"/>
    <col min="9207" max="9207" width="13.25" style="210" bestFit="1" customWidth="1"/>
    <col min="9208" max="9208" width="16" style="210" bestFit="1" customWidth="1"/>
    <col min="9209" max="9209" width="11.625" style="210" bestFit="1" customWidth="1"/>
    <col min="9210" max="9210" width="16.875" style="210" customWidth="1"/>
    <col min="9211" max="9211" width="13.25" style="210" customWidth="1"/>
    <col min="9212" max="9212" width="18.375" style="210" bestFit="1" customWidth="1"/>
    <col min="9213" max="9213" width="15" style="210" bestFit="1" customWidth="1"/>
    <col min="9214" max="9214" width="14.75" style="210" bestFit="1" customWidth="1"/>
    <col min="9215" max="9215" width="14.625" style="210" bestFit="1" customWidth="1"/>
    <col min="9216" max="9216" width="13.75" style="210" bestFit="1" customWidth="1"/>
    <col min="9217" max="9217" width="14.25" style="210" bestFit="1" customWidth="1"/>
    <col min="9218" max="9218" width="15.125" style="210" customWidth="1"/>
    <col min="9219" max="9219" width="20.5" style="210" bestFit="1" customWidth="1"/>
    <col min="9220" max="9220" width="27.875" style="210" bestFit="1" customWidth="1"/>
    <col min="9221" max="9221" width="6.875" style="210" bestFit="1" customWidth="1"/>
    <col min="9222" max="9222" width="5" style="210" bestFit="1" customWidth="1"/>
    <col min="9223" max="9223" width="8" style="210" bestFit="1" customWidth="1"/>
    <col min="9224" max="9224" width="11.875" style="210" bestFit="1" customWidth="1"/>
    <col min="9225" max="9453" width="9" style="210"/>
    <col min="9454" max="9454" width="3.875" style="210" bestFit="1" customWidth="1"/>
    <col min="9455" max="9455" width="16" style="210" bestFit="1" customWidth="1"/>
    <col min="9456" max="9456" width="16.625" style="210" bestFit="1" customWidth="1"/>
    <col min="9457" max="9457" width="13.5" style="210" bestFit="1" customWidth="1"/>
    <col min="9458" max="9459" width="10.875" style="210" bestFit="1" customWidth="1"/>
    <col min="9460" max="9460" width="6.25" style="210" bestFit="1" customWidth="1"/>
    <col min="9461" max="9461" width="8.875" style="210" bestFit="1" customWidth="1"/>
    <col min="9462" max="9462" width="13.875" style="210" bestFit="1" customWidth="1"/>
    <col min="9463" max="9463" width="13.25" style="210" bestFit="1" customWidth="1"/>
    <col min="9464" max="9464" width="16" style="210" bestFit="1" customWidth="1"/>
    <col min="9465" max="9465" width="11.625" style="210" bestFit="1" customWidth="1"/>
    <col min="9466" max="9466" width="16.875" style="210" customWidth="1"/>
    <col min="9467" max="9467" width="13.25" style="210" customWidth="1"/>
    <col min="9468" max="9468" width="18.375" style="210" bestFit="1" customWidth="1"/>
    <col min="9469" max="9469" width="15" style="210" bestFit="1" customWidth="1"/>
    <col min="9470" max="9470" width="14.75" style="210" bestFit="1" customWidth="1"/>
    <col min="9471" max="9471" width="14.625" style="210" bestFit="1" customWidth="1"/>
    <col min="9472" max="9472" width="13.75" style="210" bestFit="1" customWidth="1"/>
    <col min="9473" max="9473" width="14.25" style="210" bestFit="1" customWidth="1"/>
    <col min="9474" max="9474" width="15.125" style="210" customWidth="1"/>
    <col min="9475" max="9475" width="20.5" style="210" bestFit="1" customWidth="1"/>
    <col min="9476" max="9476" width="27.875" style="210" bestFit="1" customWidth="1"/>
    <col min="9477" max="9477" width="6.875" style="210" bestFit="1" customWidth="1"/>
    <col min="9478" max="9478" width="5" style="210" bestFit="1" customWidth="1"/>
    <col min="9479" max="9479" width="8" style="210" bestFit="1" customWidth="1"/>
    <col min="9480" max="9480" width="11.875" style="210" bestFit="1" customWidth="1"/>
    <col min="9481" max="9709" width="9" style="210"/>
    <col min="9710" max="9710" width="3.875" style="210" bestFit="1" customWidth="1"/>
    <col min="9711" max="9711" width="16" style="210" bestFit="1" customWidth="1"/>
    <col min="9712" max="9712" width="16.625" style="210" bestFit="1" customWidth="1"/>
    <col min="9713" max="9713" width="13.5" style="210" bestFit="1" customWidth="1"/>
    <col min="9714" max="9715" width="10.875" style="210" bestFit="1" customWidth="1"/>
    <col min="9716" max="9716" width="6.25" style="210" bestFit="1" customWidth="1"/>
    <col min="9717" max="9717" width="8.875" style="210" bestFit="1" customWidth="1"/>
    <col min="9718" max="9718" width="13.875" style="210" bestFit="1" customWidth="1"/>
    <col min="9719" max="9719" width="13.25" style="210" bestFit="1" customWidth="1"/>
    <col min="9720" max="9720" width="16" style="210" bestFit="1" customWidth="1"/>
    <col min="9721" max="9721" width="11.625" style="210" bestFit="1" customWidth="1"/>
    <col min="9722" max="9722" width="16.875" style="210" customWidth="1"/>
    <col min="9723" max="9723" width="13.25" style="210" customWidth="1"/>
    <col min="9724" max="9724" width="18.375" style="210" bestFit="1" customWidth="1"/>
    <col min="9725" max="9725" width="15" style="210" bestFit="1" customWidth="1"/>
    <col min="9726" max="9726" width="14.75" style="210" bestFit="1" customWidth="1"/>
    <col min="9727" max="9727" width="14.625" style="210" bestFit="1" customWidth="1"/>
    <col min="9728" max="9728" width="13.75" style="210" bestFit="1" customWidth="1"/>
    <col min="9729" max="9729" width="14.25" style="210" bestFit="1" customWidth="1"/>
    <col min="9730" max="9730" width="15.125" style="210" customWidth="1"/>
    <col min="9731" max="9731" width="20.5" style="210" bestFit="1" customWidth="1"/>
    <col min="9732" max="9732" width="27.875" style="210" bestFit="1" customWidth="1"/>
    <col min="9733" max="9733" width="6.875" style="210" bestFit="1" customWidth="1"/>
    <col min="9734" max="9734" width="5" style="210" bestFit="1" customWidth="1"/>
    <col min="9735" max="9735" width="8" style="210" bestFit="1" customWidth="1"/>
    <col min="9736" max="9736" width="11.875" style="210" bestFit="1" customWidth="1"/>
    <col min="9737" max="9965" width="9" style="210"/>
    <col min="9966" max="9966" width="3.875" style="210" bestFit="1" customWidth="1"/>
    <col min="9967" max="9967" width="16" style="210" bestFit="1" customWidth="1"/>
    <col min="9968" max="9968" width="16.625" style="210" bestFit="1" customWidth="1"/>
    <col min="9969" max="9969" width="13.5" style="210" bestFit="1" customWidth="1"/>
    <col min="9970" max="9971" width="10.875" style="210" bestFit="1" customWidth="1"/>
    <col min="9972" max="9972" width="6.25" style="210" bestFit="1" customWidth="1"/>
    <col min="9973" max="9973" width="8.875" style="210" bestFit="1" customWidth="1"/>
    <col min="9974" max="9974" width="13.875" style="210" bestFit="1" customWidth="1"/>
    <col min="9975" max="9975" width="13.25" style="210" bestFit="1" customWidth="1"/>
    <col min="9976" max="9976" width="16" style="210" bestFit="1" customWidth="1"/>
    <col min="9977" max="9977" width="11.625" style="210" bestFit="1" customWidth="1"/>
    <col min="9978" max="9978" width="16.875" style="210" customWidth="1"/>
    <col min="9979" max="9979" width="13.25" style="210" customWidth="1"/>
    <col min="9980" max="9980" width="18.375" style="210" bestFit="1" customWidth="1"/>
    <col min="9981" max="9981" width="15" style="210" bestFit="1" customWidth="1"/>
    <col min="9982" max="9982" width="14.75" style="210" bestFit="1" customWidth="1"/>
    <col min="9983" max="9983" width="14.625" style="210" bestFit="1" customWidth="1"/>
    <col min="9984" max="9984" width="13.75" style="210" bestFit="1" customWidth="1"/>
    <col min="9985" max="9985" width="14.25" style="210" bestFit="1" customWidth="1"/>
    <col min="9986" max="9986" width="15.125" style="210" customWidth="1"/>
    <col min="9987" max="9987" width="20.5" style="210" bestFit="1" customWidth="1"/>
    <col min="9988" max="9988" width="27.875" style="210" bestFit="1" customWidth="1"/>
    <col min="9989" max="9989" width="6.875" style="210" bestFit="1" customWidth="1"/>
    <col min="9990" max="9990" width="5" style="210" bestFit="1" customWidth="1"/>
    <col min="9991" max="9991" width="8" style="210" bestFit="1" customWidth="1"/>
    <col min="9992" max="9992" width="11.875" style="210" bestFit="1" customWidth="1"/>
    <col min="9993" max="10221" width="9" style="210"/>
    <col min="10222" max="10222" width="3.875" style="210" bestFit="1" customWidth="1"/>
    <col min="10223" max="10223" width="16" style="210" bestFit="1" customWidth="1"/>
    <col min="10224" max="10224" width="16.625" style="210" bestFit="1" customWidth="1"/>
    <col min="10225" max="10225" width="13.5" style="210" bestFit="1" customWidth="1"/>
    <col min="10226" max="10227" width="10.875" style="210" bestFit="1" customWidth="1"/>
    <col min="10228" max="10228" width="6.25" style="210" bestFit="1" customWidth="1"/>
    <col min="10229" max="10229" width="8.875" style="210" bestFit="1" customWidth="1"/>
    <col min="10230" max="10230" width="13.875" style="210" bestFit="1" customWidth="1"/>
    <col min="10231" max="10231" width="13.25" style="210" bestFit="1" customWidth="1"/>
    <col min="10232" max="10232" width="16" style="210" bestFit="1" customWidth="1"/>
    <col min="10233" max="10233" width="11.625" style="210" bestFit="1" customWidth="1"/>
    <col min="10234" max="10234" width="16.875" style="210" customWidth="1"/>
    <col min="10235" max="10235" width="13.25" style="210" customWidth="1"/>
    <col min="10236" max="10236" width="18.375" style="210" bestFit="1" customWidth="1"/>
    <col min="10237" max="10237" width="15" style="210" bestFit="1" customWidth="1"/>
    <col min="10238" max="10238" width="14.75" style="210" bestFit="1" customWidth="1"/>
    <col min="10239" max="10239" width="14.625" style="210" bestFit="1" customWidth="1"/>
    <col min="10240" max="10240" width="13.75" style="210" bestFit="1" customWidth="1"/>
    <col min="10241" max="10241" width="14.25" style="210" bestFit="1" customWidth="1"/>
    <col min="10242" max="10242" width="15.125" style="210" customWidth="1"/>
    <col min="10243" max="10243" width="20.5" style="210" bestFit="1" customWidth="1"/>
    <col min="10244" max="10244" width="27.875" style="210" bestFit="1" customWidth="1"/>
    <col min="10245" max="10245" width="6.875" style="210" bestFit="1" customWidth="1"/>
    <col min="10246" max="10246" width="5" style="210" bestFit="1" customWidth="1"/>
    <col min="10247" max="10247" width="8" style="210" bestFit="1" customWidth="1"/>
    <col min="10248" max="10248" width="11.875" style="210" bestFit="1" customWidth="1"/>
    <col min="10249" max="10477" width="9" style="210"/>
    <col min="10478" max="10478" width="3.875" style="210" bestFit="1" customWidth="1"/>
    <col min="10479" max="10479" width="16" style="210" bestFit="1" customWidth="1"/>
    <col min="10480" max="10480" width="16.625" style="210" bestFit="1" customWidth="1"/>
    <col min="10481" max="10481" width="13.5" style="210" bestFit="1" customWidth="1"/>
    <col min="10482" max="10483" width="10.875" style="210" bestFit="1" customWidth="1"/>
    <col min="10484" max="10484" width="6.25" style="210" bestFit="1" customWidth="1"/>
    <col min="10485" max="10485" width="8.875" style="210" bestFit="1" customWidth="1"/>
    <col min="10486" max="10486" width="13.875" style="210" bestFit="1" customWidth="1"/>
    <col min="10487" max="10487" width="13.25" style="210" bestFit="1" customWidth="1"/>
    <col min="10488" max="10488" width="16" style="210" bestFit="1" customWidth="1"/>
    <col min="10489" max="10489" width="11.625" style="210" bestFit="1" customWidth="1"/>
    <col min="10490" max="10490" width="16.875" style="210" customWidth="1"/>
    <col min="10491" max="10491" width="13.25" style="210" customWidth="1"/>
    <col min="10492" max="10492" width="18.375" style="210" bestFit="1" customWidth="1"/>
    <col min="10493" max="10493" width="15" style="210" bestFit="1" customWidth="1"/>
    <col min="10494" max="10494" width="14.75" style="210" bestFit="1" customWidth="1"/>
    <col min="10495" max="10495" width="14.625" style="210" bestFit="1" customWidth="1"/>
    <col min="10496" max="10496" width="13.75" style="210" bestFit="1" customWidth="1"/>
    <col min="10497" max="10497" width="14.25" style="210" bestFit="1" customWidth="1"/>
    <col min="10498" max="10498" width="15.125" style="210" customWidth="1"/>
    <col min="10499" max="10499" width="20.5" style="210" bestFit="1" customWidth="1"/>
    <col min="10500" max="10500" width="27.875" style="210" bestFit="1" customWidth="1"/>
    <col min="10501" max="10501" width="6.875" style="210" bestFit="1" customWidth="1"/>
    <col min="10502" max="10502" width="5" style="210" bestFit="1" customWidth="1"/>
    <col min="10503" max="10503" width="8" style="210" bestFit="1" customWidth="1"/>
    <col min="10504" max="10504" width="11.875" style="210" bestFit="1" customWidth="1"/>
    <col min="10505" max="10733" width="9" style="210"/>
    <col min="10734" max="10734" width="3.875" style="210" bestFit="1" customWidth="1"/>
    <col min="10735" max="10735" width="16" style="210" bestFit="1" customWidth="1"/>
    <col min="10736" max="10736" width="16.625" style="210" bestFit="1" customWidth="1"/>
    <col min="10737" max="10737" width="13.5" style="210" bestFit="1" customWidth="1"/>
    <col min="10738" max="10739" width="10.875" style="210" bestFit="1" customWidth="1"/>
    <col min="10740" max="10740" width="6.25" style="210" bestFit="1" customWidth="1"/>
    <col min="10741" max="10741" width="8.875" style="210" bestFit="1" customWidth="1"/>
    <col min="10742" max="10742" width="13.875" style="210" bestFit="1" customWidth="1"/>
    <col min="10743" max="10743" width="13.25" style="210" bestFit="1" customWidth="1"/>
    <col min="10744" max="10744" width="16" style="210" bestFit="1" customWidth="1"/>
    <col min="10745" max="10745" width="11.625" style="210" bestFit="1" customWidth="1"/>
    <col min="10746" max="10746" width="16.875" style="210" customWidth="1"/>
    <col min="10747" max="10747" width="13.25" style="210" customWidth="1"/>
    <col min="10748" max="10748" width="18.375" style="210" bestFit="1" customWidth="1"/>
    <col min="10749" max="10749" width="15" style="210" bestFit="1" customWidth="1"/>
    <col min="10750" max="10750" width="14.75" style="210" bestFit="1" customWidth="1"/>
    <col min="10751" max="10751" width="14.625" style="210" bestFit="1" customWidth="1"/>
    <col min="10752" max="10752" width="13.75" style="210" bestFit="1" customWidth="1"/>
    <col min="10753" max="10753" width="14.25" style="210" bestFit="1" customWidth="1"/>
    <col min="10754" max="10754" width="15.125" style="210" customWidth="1"/>
    <col min="10755" max="10755" width="20.5" style="210" bestFit="1" customWidth="1"/>
    <col min="10756" max="10756" width="27.875" style="210" bestFit="1" customWidth="1"/>
    <col min="10757" max="10757" width="6.875" style="210" bestFit="1" customWidth="1"/>
    <col min="10758" max="10758" width="5" style="210" bestFit="1" customWidth="1"/>
    <col min="10759" max="10759" width="8" style="210" bestFit="1" customWidth="1"/>
    <col min="10760" max="10760" width="11.875" style="210" bestFit="1" customWidth="1"/>
    <col min="10761" max="10989" width="9" style="210"/>
    <col min="10990" max="10990" width="3.875" style="210" bestFit="1" customWidth="1"/>
    <col min="10991" max="10991" width="16" style="210" bestFit="1" customWidth="1"/>
    <col min="10992" max="10992" width="16.625" style="210" bestFit="1" customWidth="1"/>
    <col min="10993" max="10993" width="13.5" style="210" bestFit="1" customWidth="1"/>
    <col min="10994" max="10995" width="10.875" style="210" bestFit="1" customWidth="1"/>
    <col min="10996" max="10996" width="6.25" style="210" bestFit="1" customWidth="1"/>
    <col min="10997" max="10997" width="8.875" style="210" bestFit="1" customWidth="1"/>
    <col min="10998" max="10998" width="13.875" style="210" bestFit="1" customWidth="1"/>
    <col min="10999" max="10999" width="13.25" style="210" bestFit="1" customWidth="1"/>
    <col min="11000" max="11000" width="16" style="210" bestFit="1" customWidth="1"/>
    <col min="11001" max="11001" width="11.625" style="210" bestFit="1" customWidth="1"/>
    <col min="11002" max="11002" width="16.875" style="210" customWidth="1"/>
    <col min="11003" max="11003" width="13.25" style="210" customWidth="1"/>
    <col min="11004" max="11004" width="18.375" style="210" bestFit="1" customWidth="1"/>
    <col min="11005" max="11005" width="15" style="210" bestFit="1" customWidth="1"/>
    <col min="11006" max="11006" width="14.75" style="210" bestFit="1" customWidth="1"/>
    <col min="11007" max="11007" width="14.625" style="210" bestFit="1" customWidth="1"/>
    <col min="11008" max="11008" width="13.75" style="210" bestFit="1" customWidth="1"/>
    <col min="11009" max="11009" width="14.25" style="210" bestFit="1" customWidth="1"/>
    <col min="11010" max="11010" width="15.125" style="210" customWidth="1"/>
    <col min="11011" max="11011" width="20.5" style="210" bestFit="1" customWidth="1"/>
    <col min="11012" max="11012" width="27.875" style="210" bestFit="1" customWidth="1"/>
    <col min="11013" max="11013" width="6.875" style="210" bestFit="1" customWidth="1"/>
    <col min="11014" max="11014" width="5" style="210" bestFit="1" customWidth="1"/>
    <col min="11015" max="11015" width="8" style="210" bestFit="1" customWidth="1"/>
    <col min="11016" max="11016" width="11.875" style="210" bestFit="1" customWidth="1"/>
    <col min="11017" max="11245" width="9" style="210"/>
    <col min="11246" max="11246" width="3.875" style="210" bestFit="1" customWidth="1"/>
    <col min="11247" max="11247" width="16" style="210" bestFit="1" customWidth="1"/>
    <col min="11248" max="11248" width="16.625" style="210" bestFit="1" customWidth="1"/>
    <col min="11249" max="11249" width="13.5" style="210" bestFit="1" customWidth="1"/>
    <col min="11250" max="11251" width="10.875" style="210" bestFit="1" customWidth="1"/>
    <col min="11252" max="11252" width="6.25" style="210" bestFit="1" customWidth="1"/>
    <col min="11253" max="11253" width="8.875" style="210" bestFit="1" customWidth="1"/>
    <col min="11254" max="11254" width="13.875" style="210" bestFit="1" customWidth="1"/>
    <col min="11255" max="11255" width="13.25" style="210" bestFit="1" customWidth="1"/>
    <col min="11256" max="11256" width="16" style="210" bestFit="1" customWidth="1"/>
    <col min="11257" max="11257" width="11.625" style="210" bestFit="1" customWidth="1"/>
    <col min="11258" max="11258" width="16.875" style="210" customWidth="1"/>
    <col min="11259" max="11259" width="13.25" style="210" customWidth="1"/>
    <col min="11260" max="11260" width="18.375" style="210" bestFit="1" customWidth="1"/>
    <col min="11261" max="11261" width="15" style="210" bestFit="1" customWidth="1"/>
    <col min="11262" max="11262" width="14.75" style="210" bestFit="1" customWidth="1"/>
    <col min="11263" max="11263" width="14.625" style="210" bestFit="1" customWidth="1"/>
    <col min="11264" max="11264" width="13.75" style="210" bestFit="1" customWidth="1"/>
    <col min="11265" max="11265" width="14.25" style="210" bestFit="1" customWidth="1"/>
    <col min="11266" max="11266" width="15.125" style="210" customWidth="1"/>
    <col min="11267" max="11267" width="20.5" style="210" bestFit="1" customWidth="1"/>
    <col min="11268" max="11268" width="27.875" style="210" bestFit="1" customWidth="1"/>
    <col min="11269" max="11269" width="6.875" style="210" bestFit="1" customWidth="1"/>
    <col min="11270" max="11270" width="5" style="210" bestFit="1" customWidth="1"/>
    <col min="11271" max="11271" width="8" style="210" bestFit="1" customWidth="1"/>
    <col min="11272" max="11272" width="11.875" style="210" bestFit="1" customWidth="1"/>
    <col min="11273" max="11501" width="9" style="210"/>
    <col min="11502" max="11502" width="3.875" style="210" bestFit="1" customWidth="1"/>
    <col min="11503" max="11503" width="16" style="210" bestFit="1" customWidth="1"/>
    <col min="11504" max="11504" width="16.625" style="210" bestFit="1" customWidth="1"/>
    <col min="11505" max="11505" width="13.5" style="210" bestFit="1" customWidth="1"/>
    <col min="11506" max="11507" width="10.875" style="210" bestFit="1" customWidth="1"/>
    <col min="11508" max="11508" width="6.25" style="210" bestFit="1" customWidth="1"/>
    <col min="11509" max="11509" width="8.875" style="210" bestFit="1" customWidth="1"/>
    <col min="11510" max="11510" width="13.875" style="210" bestFit="1" customWidth="1"/>
    <col min="11511" max="11511" width="13.25" style="210" bestFit="1" customWidth="1"/>
    <col min="11512" max="11512" width="16" style="210" bestFit="1" customWidth="1"/>
    <col min="11513" max="11513" width="11.625" style="210" bestFit="1" customWidth="1"/>
    <col min="11514" max="11514" width="16.875" style="210" customWidth="1"/>
    <col min="11515" max="11515" width="13.25" style="210" customWidth="1"/>
    <col min="11516" max="11516" width="18.375" style="210" bestFit="1" customWidth="1"/>
    <col min="11517" max="11517" width="15" style="210" bestFit="1" customWidth="1"/>
    <col min="11518" max="11518" width="14.75" style="210" bestFit="1" customWidth="1"/>
    <col min="11519" max="11519" width="14.625" style="210" bestFit="1" customWidth="1"/>
    <col min="11520" max="11520" width="13.75" style="210" bestFit="1" customWidth="1"/>
    <col min="11521" max="11521" width="14.25" style="210" bestFit="1" customWidth="1"/>
    <col min="11522" max="11522" width="15.125" style="210" customWidth="1"/>
    <col min="11523" max="11523" width="20.5" style="210" bestFit="1" customWidth="1"/>
    <col min="11524" max="11524" width="27.875" style="210" bestFit="1" customWidth="1"/>
    <col min="11525" max="11525" width="6.875" style="210" bestFit="1" customWidth="1"/>
    <col min="11526" max="11526" width="5" style="210" bestFit="1" customWidth="1"/>
    <col min="11527" max="11527" width="8" style="210" bestFit="1" customWidth="1"/>
    <col min="11528" max="11528" width="11.875" style="210" bestFit="1" customWidth="1"/>
    <col min="11529" max="11757" width="9" style="210"/>
    <col min="11758" max="11758" width="3.875" style="210" bestFit="1" customWidth="1"/>
    <col min="11759" max="11759" width="16" style="210" bestFit="1" customWidth="1"/>
    <col min="11760" max="11760" width="16.625" style="210" bestFit="1" customWidth="1"/>
    <col min="11761" max="11761" width="13.5" style="210" bestFit="1" customWidth="1"/>
    <col min="11762" max="11763" width="10.875" style="210" bestFit="1" customWidth="1"/>
    <col min="11764" max="11764" width="6.25" style="210" bestFit="1" customWidth="1"/>
    <col min="11765" max="11765" width="8.875" style="210" bestFit="1" customWidth="1"/>
    <col min="11766" max="11766" width="13.875" style="210" bestFit="1" customWidth="1"/>
    <col min="11767" max="11767" width="13.25" style="210" bestFit="1" customWidth="1"/>
    <col min="11768" max="11768" width="16" style="210" bestFit="1" customWidth="1"/>
    <col min="11769" max="11769" width="11.625" style="210" bestFit="1" customWidth="1"/>
    <col min="11770" max="11770" width="16.875" style="210" customWidth="1"/>
    <col min="11771" max="11771" width="13.25" style="210" customWidth="1"/>
    <col min="11772" max="11772" width="18.375" style="210" bestFit="1" customWidth="1"/>
    <col min="11773" max="11773" width="15" style="210" bestFit="1" customWidth="1"/>
    <col min="11774" max="11774" width="14.75" style="210" bestFit="1" customWidth="1"/>
    <col min="11775" max="11775" width="14.625" style="210" bestFit="1" customWidth="1"/>
    <col min="11776" max="11776" width="13.75" style="210" bestFit="1" customWidth="1"/>
    <col min="11777" max="11777" width="14.25" style="210" bestFit="1" customWidth="1"/>
    <col min="11778" max="11778" width="15.125" style="210" customWidth="1"/>
    <col min="11779" max="11779" width="20.5" style="210" bestFit="1" customWidth="1"/>
    <col min="11780" max="11780" width="27.875" style="210" bestFit="1" customWidth="1"/>
    <col min="11781" max="11781" width="6.875" style="210" bestFit="1" customWidth="1"/>
    <col min="11782" max="11782" width="5" style="210" bestFit="1" customWidth="1"/>
    <col min="11783" max="11783" width="8" style="210" bestFit="1" customWidth="1"/>
    <col min="11784" max="11784" width="11.875" style="210" bestFit="1" customWidth="1"/>
    <col min="11785" max="12013" width="9" style="210"/>
    <col min="12014" max="12014" width="3.875" style="210" bestFit="1" customWidth="1"/>
    <col min="12015" max="12015" width="16" style="210" bestFit="1" customWidth="1"/>
    <col min="12016" max="12016" width="16.625" style="210" bestFit="1" customWidth="1"/>
    <col min="12017" max="12017" width="13.5" style="210" bestFit="1" customWidth="1"/>
    <col min="12018" max="12019" width="10.875" style="210" bestFit="1" customWidth="1"/>
    <col min="12020" max="12020" width="6.25" style="210" bestFit="1" customWidth="1"/>
    <col min="12021" max="12021" width="8.875" style="210" bestFit="1" customWidth="1"/>
    <col min="12022" max="12022" width="13.875" style="210" bestFit="1" customWidth="1"/>
    <col min="12023" max="12023" width="13.25" style="210" bestFit="1" customWidth="1"/>
    <col min="12024" max="12024" width="16" style="210" bestFit="1" customWidth="1"/>
    <col min="12025" max="12025" width="11.625" style="210" bestFit="1" customWidth="1"/>
    <col min="12026" max="12026" width="16.875" style="210" customWidth="1"/>
    <col min="12027" max="12027" width="13.25" style="210" customWidth="1"/>
    <col min="12028" max="12028" width="18.375" style="210" bestFit="1" customWidth="1"/>
    <col min="12029" max="12029" width="15" style="210" bestFit="1" customWidth="1"/>
    <col min="12030" max="12030" width="14.75" style="210" bestFit="1" customWidth="1"/>
    <col min="12031" max="12031" width="14.625" style="210" bestFit="1" customWidth="1"/>
    <col min="12032" max="12032" width="13.75" style="210" bestFit="1" customWidth="1"/>
    <col min="12033" max="12033" width="14.25" style="210" bestFit="1" customWidth="1"/>
    <col min="12034" max="12034" width="15.125" style="210" customWidth="1"/>
    <col min="12035" max="12035" width="20.5" style="210" bestFit="1" customWidth="1"/>
    <col min="12036" max="12036" width="27.875" style="210" bestFit="1" customWidth="1"/>
    <col min="12037" max="12037" width="6.875" style="210" bestFit="1" customWidth="1"/>
    <col min="12038" max="12038" width="5" style="210" bestFit="1" customWidth="1"/>
    <col min="12039" max="12039" width="8" style="210" bestFit="1" customWidth="1"/>
    <col min="12040" max="12040" width="11.875" style="210" bestFit="1" customWidth="1"/>
    <col min="12041" max="12269" width="9" style="210"/>
    <col min="12270" max="12270" width="3.875" style="210" bestFit="1" customWidth="1"/>
    <col min="12271" max="12271" width="16" style="210" bestFit="1" customWidth="1"/>
    <col min="12272" max="12272" width="16.625" style="210" bestFit="1" customWidth="1"/>
    <col min="12273" max="12273" width="13.5" style="210" bestFit="1" customWidth="1"/>
    <col min="12274" max="12275" width="10.875" style="210" bestFit="1" customWidth="1"/>
    <col min="12276" max="12276" width="6.25" style="210" bestFit="1" customWidth="1"/>
    <col min="12277" max="12277" width="8.875" style="210" bestFit="1" customWidth="1"/>
    <col min="12278" max="12278" width="13.875" style="210" bestFit="1" customWidth="1"/>
    <col min="12279" max="12279" width="13.25" style="210" bestFit="1" customWidth="1"/>
    <col min="12280" max="12280" width="16" style="210" bestFit="1" customWidth="1"/>
    <col min="12281" max="12281" width="11.625" style="210" bestFit="1" customWidth="1"/>
    <col min="12282" max="12282" width="16.875" style="210" customWidth="1"/>
    <col min="12283" max="12283" width="13.25" style="210" customWidth="1"/>
    <col min="12284" max="12284" width="18.375" style="210" bestFit="1" customWidth="1"/>
    <col min="12285" max="12285" width="15" style="210" bestFit="1" customWidth="1"/>
    <col min="12286" max="12286" width="14.75" style="210" bestFit="1" customWidth="1"/>
    <col min="12287" max="12287" width="14.625" style="210" bestFit="1" customWidth="1"/>
    <col min="12288" max="12288" width="13.75" style="210" bestFit="1" customWidth="1"/>
    <col min="12289" max="12289" width="14.25" style="210" bestFit="1" customWidth="1"/>
    <col min="12290" max="12290" width="15.125" style="210" customWidth="1"/>
    <col min="12291" max="12291" width="20.5" style="210" bestFit="1" customWidth="1"/>
    <col min="12292" max="12292" width="27.875" style="210" bestFit="1" customWidth="1"/>
    <col min="12293" max="12293" width="6.875" style="210" bestFit="1" customWidth="1"/>
    <col min="12294" max="12294" width="5" style="210" bestFit="1" customWidth="1"/>
    <col min="12295" max="12295" width="8" style="210" bestFit="1" customWidth="1"/>
    <col min="12296" max="12296" width="11.875" style="210" bestFit="1" customWidth="1"/>
    <col min="12297" max="12525" width="9" style="210"/>
    <col min="12526" max="12526" width="3.875" style="210" bestFit="1" customWidth="1"/>
    <col min="12527" max="12527" width="16" style="210" bestFit="1" customWidth="1"/>
    <col min="12528" max="12528" width="16.625" style="210" bestFit="1" customWidth="1"/>
    <col min="12529" max="12529" width="13.5" style="210" bestFit="1" customWidth="1"/>
    <col min="12530" max="12531" width="10.875" style="210" bestFit="1" customWidth="1"/>
    <col min="12532" max="12532" width="6.25" style="210" bestFit="1" customWidth="1"/>
    <col min="12533" max="12533" width="8.875" style="210" bestFit="1" customWidth="1"/>
    <col min="12534" max="12534" width="13.875" style="210" bestFit="1" customWidth="1"/>
    <col min="12535" max="12535" width="13.25" style="210" bestFit="1" customWidth="1"/>
    <col min="12536" max="12536" width="16" style="210" bestFit="1" customWidth="1"/>
    <col min="12537" max="12537" width="11.625" style="210" bestFit="1" customWidth="1"/>
    <col min="12538" max="12538" width="16.875" style="210" customWidth="1"/>
    <col min="12539" max="12539" width="13.25" style="210" customWidth="1"/>
    <col min="12540" max="12540" width="18.375" style="210" bestFit="1" customWidth="1"/>
    <col min="12541" max="12541" width="15" style="210" bestFit="1" customWidth="1"/>
    <col min="12542" max="12542" width="14.75" style="210" bestFit="1" customWidth="1"/>
    <col min="12543" max="12543" width="14.625" style="210" bestFit="1" customWidth="1"/>
    <col min="12544" max="12544" width="13.75" style="210" bestFit="1" customWidth="1"/>
    <col min="12545" max="12545" width="14.25" style="210" bestFit="1" customWidth="1"/>
    <col min="12546" max="12546" width="15.125" style="210" customWidth="1"/>
    <col min="12547" max="12547" width="20.5" style="210" bestFit="1" customWidth="1"/>
    <col min="12548" max="12548" width="27.875" style="210" bestFit="1" customWidth="1"/>
    <col min="12549" max="12549" width="6.875" style="210" bestFit="1" customWidth="1"/>
    <col min="12550" max="12550" width="5" style="210" bestFit="1" customWidth="1"/>
    <col min="12551" max="12551" width="8" style="210" bestFit="1" customWidth="1"/>
    <col min="12552" max="12552" width="11.875" style="210" bestFit="1" customWidth="1"/>
    <col min="12553" max="12781" width="9" style="210"/>
    <col min="12782" max="12782" width="3.875" style="210" bestFit="1" customWidth="1"/>
    <col min="12783" max="12783" width="16" style="210" bestFit="1" customWidth="1"/>
    <col min="12784" max="12784" width="16.625" style="210" bestFit="1" customWidth="1"/>
    <col min="12785" max="12785" width="13.5" style="210" bestFit="1" customWidth="1"/>
    <col min="12786" max="12787" width="10.875" style="210" bestFit="1" customWidth="1"/>
    <col min="12788" max="12788" width="6.25" style="210" bestFit="1" customWidth="1"/>
    <col min="12789" max="12789" width="8.875" style="210" bestFit="1" customWidth="1"/>
    <col min="12790" max="12790" width="13.875" style="210" bestFit="1" customWidth="1"/>
    <col min="12791" max="12791" width="13.25" style="210" bestFit="1" customWidth="1"/>
    <col min="12792" max="12792" width="16" style="210" bestFit="1" customWidth="1"/>
    <col min="12793" max="12793" width="11.625" style="210" bestFit="1" customWidth="1"/>
    <col min="12794" max="12794" width="16.875" style="210" customWidth="1"/>
    <col min="12795" max="12795" width="13.25" style="210" customWidth="1"/>
    <col min="12796" max="12796" width="18.375" style="210" bestFit="1" customWidth="1"/>
    <col min="12797" max="12797" width="15" style="210" bestFit="1" customWidth="1"/>
    <col min="12798" max="12798" width="14.75" style="210" bestFit="1" customWidth="1"/>
    <col min="12799" max="12799" width="14.625" style="210" bestFit="1" customWidth="1"/>
    <col min="12800" max="12800" width="13.75" style="210" bestFit="1" customWidth="1"/>
    <col min="12801" max="12801" width="14.25" style="210" bestFit="1" customWidth="1"/>
    <col min="12802" max="12802" width="15.125" style="210" customWidth="1"/>
    <col min="12803" max="12803" width="20.5" style="210" bestFit="1" customWidth="1"/>
    <col min="12804" max="12804" width="27.875" style="210" bestFit="1" customWidth="1"/>
    <col min="12805" max="12805" width="6.875" style="210" bestFit="1" customWidth="1"/>
    <col min="12806" max="12806" width="5" style="210" bestFit="1" customWidth="1"/>
    <col min="12807" max="12807" width="8" style="210" bestFit="1" customWidth="1"/>
    <col min="12808" max="12808" width="11.875" style="210" bestFit="1" customWidth="1"/>
    <col min="12809" max="13037" width="9" style="210"/>
    <col min="13038" max="13038" width="3.875" style="210" bestFit="1" customWidth="1"/>
    <col min="13039" max="13039" width="16" style="210" bestFit="1" customWidth="1"/>
    <col min="13040" max="13040" width="16.625" style="210" bestFit="1" customWidth="1"/>
    <col min="13041" max="13041" width="13.5" style="210" bestFit="1" customWidth="1"/>
    <col min="13042" max="13043" width="10.875" style="210" bestFit="1" customWidth="1"/>
    <col min="13044" max="13044" width="6.25" style="210" bestFit="1" customWidth="1"/>
    <col min="13045" max="13045" width="8.875" style="210" bestFit="1" customWidth="1"/>
    <col min="13046" max="13046" width="13.875" style="210" bestFit="1" customWidth="1"/>
    <col min="13047" max="13047" width="13.25" style="210" bestFit="1" customWidth="1"/>
    <col min="13048" max="13048" width="16" style="210" bestFit="1" customWidth="1"/>
    <col min="13049" max="13049" width="11.625" style="210" bestFit="1" customWidth="1"/>
    <col min="13050" max="13050" width="16.875" style="210" customWidth="1"/>
    <col min="13051" max="13051" width="13.25" style="210" customWidth="1"/>
    <col min="13052" max="13052" width="18.375" style="210" bestFit="1" customWidth="1"/>
    <col min="13053" max="13053" width="15" style="210" bestFit="1" customWidth="1"/>
    <col min="13054" max="13054" width="14.75" style="210" bestFit="1" customWidth="1"/>
    <col min="13055" max="13055" width="14.625" style="210" bestFit="1" customWidth="1"/>
    <col min="13056" max="13056" width="13.75" style="210" bestFit="1" customWidth="1"/>
    <col min="13057" max="13057" width="14.25" style="210" bestFit="1" customWidth="1"/>
    <col min="13058" max="13058" width="15.125" style="210" customWidth="1"/>
    <col min="13059" max="13059" width="20.5" style="210" bestFit="1" customWidth="1"/>
    <col min="13060" max="13060" width="27.875" style="210" bestFit="1" customWidth="1"/>
    <col min="13061" max="13061" width="6.875" style="210" bestFit="1" customWidth="1"/>
    <col min="13062" max="13062" width="5" style="210" bestFit="1" customWidth="1"/>
    <col min="13063" max="13063" width="8" style="210" bestFit="1" customWidth="1"/>
    <col min="13064" max="13064" width="11.875" style="210" bestFit="1" customWidth="1"/>
    <col min="13065" max="13293" width="9" style="210"/>
    <col min="13294" max="13294" width="3.875" style="210" bestFit="1" customWidth="1"/>
    <col min="13295" max="13295" width="16" style="210" bestFit="1" customWidth="1"/>
    <col min="13296" max="13296" width="16.625" style="210" bestFit="1" customWidth="1"/>
    <col min="13297" max="13297" width="13.5" style="210" bestFit="1" customWidth="1"/>
    <col min="13298" max="13299" width="10.875" style="210" bestFit="1" customWidth="1"/>
    <col min="13300" max="13300" width="6.25" style="210" bestFit="1" customWidth="1"/>
    <col min="13301" max="13301" width="8.875" style="210" bestFit="1" customWidth="1"/>
    <col min="13302" max="13302" width="13.875" style="210" bestFit="1" customWidth="1"/>
    <col min="13303" max="13303" width="13.25" style="210" bestFit="1" customWidth="1"/>
    <col min="13304" max="13304" width="16" style="210" bestFit="1" customWidth="1"/>
    <col min="13305" max="13305" width="11.625" style="210" bestFit="1" customWidth="1"/>
    <col min="13306" max="13306" width="16.875" style="210" customWidth="1"/>
    <col min="13307" max="13307" width="13.25" style="210" customWidth="1"/>
    <col min="13308" max="13308" width="18.375" style="210" bestFit="1" customWidth="1"/>
    <col min="13309" max="13309" width="15" style="210" bestFit="1" customWidth="1"/>
    <col min="13310" max="13310" width="14.75" style="210" bestFit="1" customWidth="1"/>
    <col min="13311" max="13311" width="14.625" style="210" bestFit="1" customWidth="1"/>
    <col min="13312" max="13312" width="13.75" style="210" bestFit="1" customWidth="1"/>
    <col min="13313" max="13313" width="14.25" style="210" bestFit="1" customWidth="1"/>
    <col min="13314" max="13314" width="15.125" style="210" customWidth="1"/>
    <col min="13315" max="13315" width="20.5" style="210" bestFit="1" customWidth="1"/>
    <col min="13316" max="13316" width="27.875" style="210" bestFit="1" customWidth="1"/>
    <col min="13317" max="13317" width="6.875" style="210" bestFit="1" customWidth="1"/>
    <col min="13318" max="13318" width="5" style="210" bestFit="1" customWidth="1"/>
    <col min="13319" max="13319" width="8" style="210" bestFit="1" customWidth="1"/>
    <col min="13320" max="13320" width="11.875" style="210" bestFit="1" customWidth="1"/>
    <col min="13321" max="13549" width="9" style="210"/>
    <col min="13550" max="13550" width="3.875" style="210" bestFit="1" customWidth="1"/>
    <col min="13551" max="13551" width="16" style="210" bestFit="1" customWidth="1"/>
    <col min="13552" max="13552" width="16.625" style="210" bestFit="1" customWidth="1"/>
    <col min="13553" max="13553" width="13.5" style="210" bestFit="1" customWidth="1"/>
    <col min="13554" max="13555" width="10.875" style="210" bestFit="1" customWidth="1"/>
    <col min="13556" max="13556" width="6.25" style="210" bestFit="1" customWidth="1"/>
    <col min="13557" max="13557" width="8.875" style="210" bestFit="1" customWidth="1"/>
    <col min="13558" max="13558" width="13.875" style="210" bestFit="1" customWidth="1"/>
    <col min="13559" max="13559" width="13.25" style="210" bestFit="1" customWidth="1"/>
    <col min="13560" max="13560" width="16" style="210" bestFit="1" customWidth="1"/>
    <col min="13561" max="13561" width="11.625" style="210" bestFit="1" customWidth="1"/>
    <col min="13562" max="13562" width="16.875" style="210" customWidth="1"/>
    <col min="13563" max="13563" width="13.25" style="210" customWidth="1"/>
    <col min="13564" max="13564" width="18.375" style="210" bestFit="1" customWidth="1"/>
    <col min="13565" max="13565" width="15" style="210" bestFit="1" customWidth="1"/>
    <col min="13566" max="13566" width="14.75" style="210" bestFit="1" customWidth="1"/>
    <col min="13567" max="13567" width="14.625" style="210" bestFit="1" customWidth="1"/>
    <col min="13568" max="13568" width="13.75" style="210" bestFit="1" customWidth="1"/>
    <col min="13569" max="13569" width="14.25" style="210" bestFit="1" customWidth="1"/>
    <col min="13570" max="13570" width="15.125" style="210" customWidth="1"/>
    <col min="13571" max="13571" width="20.5" style="210" bestFit="1" customWidth="1"/>
    <col min="13572" max="13572" width="27.875" style="210" bestFit="1" customWidth="1"/>
    <col min="13573" max="13573" width="6.875" style="210" bestFit="1" customWidth="1"/>
    <col min="13574" max="13574" width="5" style="210" bestFit="1" customWidth="1"/>
    <col min="13575" max="13575" width="8" style="210" bestFit="1" customWidth="1"/>
    <col min="13576" max="13576" width="11.875" style="210" bestFit="1" customWidth="1"/>
    <col min="13577" max="13805" width="9" style="210"/>
    <col min="13806" max="13806" width="3.875" style="210" bestFit="1" customWidth="1"/>
    <col min="13807" max="13807" width="16" style="210" bestFit="1" customWidth="1"/>
    <col min="13808" max="13808" width="16.625" style="210" bestFit="1" customWidth="1"/>
    <col min="13809" max="13809" width="13.5" style="210" bestFit="1" customWidth="1"/>
    <col min="13810" max="13811" width="10.875" style="210" bestFit="1" customWidth="1"/>
    <col min="13812" max="13812" width="6.25" style="210" bestFit="1" customWidth="1"/>
    <col min="13813" max="13813" width="8.875" style="210" bestFit="1" customWidth="1"/>
    <col min="13814" max="13814" width="13.875" style="210" bestFit="1" customWidth="1"/>
    <col min="13815" max="13815" width="13.25" style="210" bestFit="1" customWidth="1"/>
    <col min="13816" max="13816" width="16" style="210" bestFit="1" customWidth="1"/>
    <col min="13817" max="13817" width="11.625" style="210" bestFit="1" customWidth="1"/>
    <col min="13818" max="13818" width="16.875" style="210" customWidth="1"/>
    <col min="13819" max="13819" width="13.25" style="210" customWidth="1"/>
    <col min="13820" max="13820" width="18.375" style="210" bestFit="1" customWidth="1"/>
    <col min="13821" max="13821" width="15" style="210" bestFit="1" customWidth="1"/>
    <col min="13822" max="13822" width="14.75" style="210" bestFit="1" customWidth="1"/>
    <col min="13823" max="13823" width="14.625" style="210" bestFit="1" customWidth="1"/>
    <col min="13824" max="13824" width="13.75" style="210" bestFit="1" customWidth="1"/>
    <col min="13825" max="13825" width="14.25" style="210" bestFit="1" customWidth="1"/>
    <col min="13826" max="13826" width="15.125" style="210" customWidth="1"/>
    <col min="13827" max="13827" width="20.5" style="210" bestFit="1" customWidth="1"/>
    <col min="13828" max="13828" width="27.875" style="210" bestFit="1" customWidth="1"/>
    <col min="13829" max="13829" width="6.875" style="210" bestFit="1" customWidth="1"/>
    <col min="13830" max="13830" width="5" style="210" bestFit="1" customWidth="1"/>
    <col min="13831" max="13831" width="8" style="210" bestFit="1" customWidth="1"/>
    <col min="13832" max="13832" width="11.875" style="210" bestFit="1" customWidth="1"/>
    <col min="13833" max="14061" width="9" style="210"/>
    <col min="14062" max="14062" width="3.875" style="210" bestFit="1" customWidth="1"/>
    <col min="14063" max="14063" width="16" style="210" bestFit="1" customWidth="1"/>
    <col min="14064" max="14064" width="16.625" style="210" bestFit="1" customWidth="1"/>
    <col min="14065" max="14065" width="13.5" style="210" bestFit="1" customWidth="1"/>
    <col min="14066" max="14067" width="10.875" style="210" bestFit="1" customWidth="1"/>
    <col min="14068" max="14068" width="6.25" style="210" bestFit="1" customWidth="1"/>
    <col min="14069" max="14069" width="8.875" style="210" bestFit="1" customWidth="1"/>
    <col min="14070" max="14070" width="13.875" style="210" bestFit="1" customWidth="1"/>
    <col min="14071" max="14071" width="13.25" style="210" bestFit="1" customWidth="1"/>
    <col min="14072" max="14072" width="16" style="210" bestFit="1" customWidth="1"/>
    <col min="14073" max="14073" width="11.625" style="210" bestFit="1" customWidth="1"/>
    <col min="14074" max="14074" width="16.875" style="210" customWidth="1"/>
    <col min="14075" max="14075" width="13.25" style="210" customWidth="1"/>
    <col min="14076" max="14076" width="18.375" style="210" bestFit="1" customWidth="1"/>
    <col min="14077" max="14077" width="15" style="210" bestFit="1" customWidth="1"/>
    <col min="14078" max="14078" width="14.75" style="210" bestFit="1" customWidth="1"/>
    <col min="14079" max="14079" width="14.625" style="210" bestFit="1" customWidth="1"/>
    <col min="14080" max="14080" width="13.75" style="210" bestFit="1" customWidth="1"/>
    <col min="14081" max="14081" width="14.25" style="210" bestFit="1" customWidth="1"/>
    <col min="14082" max="14082" width="15.125" style="210" customWidth="1"/>
    <col min="14083" max="14083" width="20.5" style="210" bestFit="1" customWidth="1"/>
    <col min="14084" max="14084" width="27.875" style="210" bestFit="1" customWidth="1"/>
    <col min="14085" max="14085" width="6.875" style="210" bestFit="1" customWidth="1"/>
    <col min="14086" max="14086" width="5" style="210" bestFit="1" customWidth="1"/>
    <col min="14087" max="14087" width="8" style="210" bestFit="1" customWidth="1"/>
    <col min="14088" max="14088" width="11.875" style="210" bestFit="1" customWidth="1"/>
    <col min="14089" max="14317" width="9" style="210"/>
    <col min="14318" max="14318" width="3.875" style="210" bestFit="1" customWidth="1"/>
    <col min="14319" max="14319" width="16" style="210" bestFit="1" customWidth="1"/>
    <col min="14320" max="14320" width="16.625" style="210" bestFit="1" customWidth="1"/>
    <col min="14321" max="14321" width="13.5" style="210" bestFit="1" customWidth="1"/>
    <col min="14322" max="14323" width="10.875" style="210" bestFit="1" customWidth="1"/>
    <col min="14324" max="14324" width="6.25" style="210" bestFit="1" customWidth="1"/>
    <col min="14325" max="14325" width="8.875" style="210" bestFit="1" customWidth="1"/>
    <col min="14326" max="14326" width="13.875" style="210" bestFit="1" customWidth="1"/>
    <col min="14327" max="14327" width="13.25" style="210" bestFit="1" customWidth="1"/>
    <col min="14328" max="14328" width="16" style="210" bestFit="1" customWidth="1"/>
    <col min="14329" max="14329" width="11.625" style="210" bestFit="1" customWidth="1"/>
    <col min="14330" max="14330" width="16.875" style="210" customWidth="1"/>
    <col min="14331" max="14331" width="13.25" style="210" customWidth="1"/>
    <col min="14332" max="14332" width="18.375" style="210" bestFit="1" customWidth="1"/>
    <col min="14333" max="14333" width="15" style="210" bestFit="1" customWidth="1"/>
    <col min="14334" max="14334" width="14.75" style="210" bestFit="1" customWidth="1"/>
    <col min="14335" max="14335" width="14.625" style="210" bestFit="1" customWidth="1"/>
    <col min="14336" max="14336" width="13.75" style="210" bestFit="1" customWidth="1"/>
    <col min="14337" max="14337" width="14.25" style="210" bestFit="1" customWidth="1"/>
    <col min="14338" max="14338" width="15.125" style="210" customWidth="1"/>
    <col min="14339" max="14339" width="20.5" style="210" bestFit="1" customWidth="1"/>
    <col min="14340" max="14340" width="27.875" style="210" bestFit="1" customWidth="1"/>
    <col min="14341" max="14341" width="6.875" style="210" bestFit="1" customWidth="1"/>
    <col min="14342" max="14342" width="5" style="210" bestFit="1" customWidth="1"/>
    <col min="14343" max="14343" width="8" style="210" bestFit="1" customWidth="1"/>
    <col min="14344" max="14344" width="11.875" style="210" bestFit="1" customWidth="1"/>
    <col min="14345" max="14573" width="9" style="210"/>
    <col min="14574" max="14574" width="3.875" style="210" bestFit="1" customWidth="1"/>
    <col min="14575" max="14575" width="16" style="210" bestFit="1" customWidth="1"/>
    <col min="14576" max="14576" width="16.625" style="210" bestFit="1" customWidth="1"/>
    <col min="14577" max="14577" width="13.5" style="210" bestFit="1" customWidth="1"/>
    <col min="14578" max="14579" width="10.875" style="210" bestFit="1" customWidth="1"/>
    <col min="14580" max="14580" width="6.25" style="210" bestFit="1" customWidth="1"/>
    <col min="14581" max="14581" width="8.875" style="210" bestFit="1" customWidth="1"/>
    <col min="14582" max="14582" width="13.875" style="210" bestFit="1" customWidth="1"/>
    <col min="14583" max="14583" width="13.25" style="210" bestFit="1" customWidth="1"/>
    <col min="14584" max="14584" width="16" style="210" bestFit="1" customWidth="1"/>
    <col min="14585" max="14585" width="11.625" style="210" bestFit="1" customWidth="1"/>
    <col min="14586" max="14586" width="16.875" style="210" customWidth="1"/>
    <col min="14587" max="14587" width="13.25" style="210" customWidth="1"/>
    <col min="14588" max="14588" width="18.375" style="210" bestFit="1" customWidth="1"/>
    <col min="14589" max="14589" width="15" style="210" bestFit="1" customWidth="1"/>
    <col min="14590" max="14590" width="14.75" style="210" bestFit="1" customWidth="1"/>
    <col min="14591" max="14591" width="14.625" style="210" bestFit="1" customWidth="1"/>
    <col min="14592" max="14592" width="13.75" style="210" bestFit="1" customWidth="1"/>
    <col min="14593" max="14593" width="14.25" style="210" bestFit="1" customWidth="1"/>
    <col min="14594" max="14594" width="15.125" style="210" customWidth="1"/>
    <col min="14595" max="14595" width="20.5" style="210" bestFit="1" customWidth="1"/>
    <col min="14596" max="14596" width="27.875" style="210" bestFit="1" customWidth="1"/>
    <col min="14597" max="14597" width="6.875" style="210" bestFit="1" customWidth="1"/>
    <col min="14598" max="14598" width="5" style="210" bestFit="1" customWidth="1"/>
    <col min="14599" max="14599" width="8" style="210" bestFit="1" customWidth="1"/>
    <col min="14600" max="14600" width="11.875" style="210" bestFit="1" customWidth="1"/>
    <col min="14601" max="14829" width="9" style="210"/>
    <col min="14830" max="14830" width="3.875" style="210" bestFit="1" customWidth="1"/>
    <col min="14831" max="14831" width="16" style="210" bestFit="1" customWidth="1"/>
    <col min="14832" max="14832" width="16.625" style="210" bestFit="1" customWidth="1"/>
    <col min="14833" max="14833" width="13.5" style="210" bestFit="1" customWidth="1"/>
    <col min="14834" max="14835" width="10.875" style="210" bestFit="1" customWidth="1"/>
    <col min="14836" max="14836" width="6.25" style="210" bestFit="1" customWidth="1"/>
    <col min="14837" max="14837" width="8.875" style="210" bestFit="1" customWidth="1"/>
    <col min="14838" max="14838" width="13.875" style="210" bestFit="1" customWidth="1"/>
    <col min="14839" max="14839" width="13.25" style="210" bestFit="1" customWidth="1"/>
    <col min="14840" max="14840" width="16" style="210" bestFit="1" customWidth="1"/>
    <col min="14841" max="14841" width="11.625" style="210" bestFit="1" customWidth="1"/>
    <col min="14842" max="14842" width="16.875" style="210" customWidth="1"/>
    <col min="14843" max="14843" width="13.25" style="210" customWidth="1"/>
    <col min="14844" max="14844" width="18.375" style="210" bestFit="1" customWidth="1"/>
    <col min="14845" max="14845" width="15" style="210" bestFit="1" customWidth="1"/>
    <col min="14846" max="14846" width="14.75" style="210" bestFit="1" customWidth="1"/>
    <col min="14847" max="14847" width="14.625" style="210" bestFit="1" customWidth="1"/>
    <col min="14848" max="14848" width="13.75" style="210" bestFit="1" customWidth="1"/>
    <col min="14849" max="14849" width="14.25" style="210" bestFit="1" customWidth="1"/>
    <col min="14850" max="14850" width="15.125" style="210" customWidth="1"/>
    <col min="14851" max="14851" width="20.5" style="210" bestFit="1" customWidth="1"/>
    <col min="14852" max="14852" width="27.875" style="210" bestFit="1" customWidth="1"/>
    <col min="14853" max="14853" width="6.875" style="210" bestFit="1" customWidth="1"/>
    <col min="14854" max="14854" width="5" style="210" bestFit="1" customWidth="1"/>
    <col min="14855" max="14855" width="8" style="210" bestFit="1" customWidth="1"/>
    <col min="14856" max="14856" width="11.875" style="210" bestFit="1" customWidth="1"/>
    <col min="14857" max="15085" width="9" style="210"/>
    <col min="15086" max="15086" width="3.875" style="210" bestFit="1" customWidth="1"/>
    <col min="15087" max="15087" width="16" style="210" bestFit="1" customWidth="1"/>
    <col min="15088" max="15088" width="16.625" style="210" bestFit="1" customWidth="1"/>
    <col min="15089" max="15089" width="13.5" style="210" bestFit="1" customWidth="1"/>
    <col min="15090" max="15091" width="10.875" style="210" bestFit="1" customWidth="1"/>
    <col min="15092" max="15092" width="6.25" style="210" bestFit="1" customWidth="1"/>
    <col min="15093" max="15093" width="8.875" style="210" bestFit="1" customWidth="1"/>
    <col min="15094" max="15094" width="13.875" style="210" bestFit="1" customWidth="1"/>
    <col min="15095" max="15095" width="13.25" style="210" bestFit="1" customWidth="1"/>
    <col min="15096" max="15096" width="16" style="210" bestFit="1" customWidth="1"/>
    <col min="15097" max="15097" width="11.625" style="210" bestFit="1" customWidth="1"/>
    <col min="15098" max="15098" width="16.875" style="210" customWidth="1"/>
    <col min="15099" max="15099" width="13.25" style="210" customWidth="1"/>
    <col min="15100" max="15100" width="18.375" style="210" bestFit="1" customWidth="1"/>
    <col min="15101" max="15101" width="15" style="210" bestFit="1" customWidth="1"/>
    <col min="15102" max="15102" width="14.75" style="210" bestFit="1" customWidth="1"/>
    <col min="15103" max="15103" width="14.625" style="210" bestFit="1" customWidth="1"/>
    <col min="15104" max="15104" width="13.75" style="210" bestFit="1" customWidth="1"/>
    <col min="15105" max="15105" width="14.25" style="210" bestFit="1" customWidth="1"/>
    <col min="15106" max="15106" width="15.125" style="210" customWidth="1"/>
    <col min="15107" max="15107" width="20.5" style="210" bestFit="1" customWidth="1"/>
    <col min="15108" max="15108" width="27.875" style="210" bestFit="1" customWidth="1"/>
    <col min="15109" max="15109" width="6.875" style="210" bestFit="1" customWidth="1"/>
    <col min="15110" max="15110" width="5" style="210" bestFit="1" customWidth="1"/>
    <col min="15111" max="15111" width="8" style="210" bestFit="1" customWidth="1"/>
    <col min="15112" max="15112" width="11.875" style="210" bestFit="1" customWidth="1"/>
    <col min="15113" max="15341" width="9" style="210"/>
    <col min="15342" max="15342" width="3.875" style="210" bestFit="1" customWidth="1"/>
    <col min="15343" max="15343" width="16" style="210" bestFit="1" customWidth="1"/>
    <col min="15344" max="15344" width="16.625" style="210" bestFit="1" customWidth="1"/>
    <col min="15345" max="15345" width="13.5" style="210" bestFit="1" customWidth="1"/>
    <col min="15346" max="15347" width="10.875" style="210" bestFit="1" customWidth="1"/>
    <col min="15348" max="15348" width="6.25" style="210" bestFit="1" customWidth="1"/>
    <col min="15349" max="15349" width="8.875" style="210" bestFit="1" customWidth="1"/>
    <col min="15350" max="15350" width="13.875" style="210" bestFit="1" customWidth="1"/>
    <col min="15351" max="15351" width="13.25" style="210" bestFit="1" customWidth="1"/>
    <col min="15352" max="15352" width="16" style="210" bestFit="1" customWidth="1"/>
    <col min="15353" max="15353" width="11.625" style="210" bestFit="1" customWidth="1"/>
    <col min="15354" max="15354" width="16.875" style="210" customWidth="1"/>
    <col min="15355" max="15355" width="13.25" style="210" customWidth="1"/>
    <col min="15356" max="15356" width="18.375" style="210" bestFit="1" customWidth="1"/>
    <col min="15357" max="15357" width="15" style="210" bestFit="1" customWidth="1"/>
    <col min="15358" max="15358" width="14.75" style="210" bestFit="1" customWidth="1"/>
    <col min="15359" max="15359" width="14.625" style="210" bestFit="1" customWidth="1"/>
    <col min="15360" max="15360" width="13.75" style="210" bestFit="1" customWidth="1"/>
    <col min="15361" max="15361" width="14.25" style="210" bestFit="1" customWidth="1"/>
    <col min="15362" max="15362" width="15.125" style="210" customWidth="1"/>
    <col min="15363" max="15363" width="20.5" style="210" bestFit="1" customWidth="1"/>
    <col min="15364" max="15364" width="27.875" style="210" bestFit="1" customWidth="1"/>
    <col min="15365" max="15365" width="6.875" style="210" bestFit="1" customWidth="1"/>
    <col min="15366" max="15366" width="5" style="210" bestFit="1" customWidth="1"/>
    <col min="15367" max="15367" width="8" style="210" bestFit="1" customWidth="1"/>
    <col min="15368" max="15368" width="11.875" style="210" bestFit="1" customWidth="1"/>
    <col min="15369" max="15597" width="9" style="210"/>
    <col min="15598" max="15598" width="3.875" style="210" bestFit="1" customWidth="1"/>
    <col min="15599" max="15599" width="16" style="210" bestFit="1" customWidth="1"/>
    <col min="15600" max="15600" width="16.625" style="210" bestFit="1" customWidth="1"/>
    <col min="15601" max="15601" width="13.5" style="210" bestFit="1" customWidth="1"/>
    <col min="15602" max="15603" width="10.875" style="210" bestFit="1" customWidth="1"/>
    <col min="15604" max="15604" width="6.25" style="210" bestFit="1" customWidth="1"/>
    <col min="15605" max="15605" width="8.875" style="210" bestFit="1" customWidth="1"/>
    <col min="15606" max="15606" width="13.875" style="210" bestFit="1" customWidth="1"/>
    <col min="15607" max="15607" width="13.25" style="210" bestFit="1" customWidth="1"/>
    <col min="15608" max="15608" width="16" style="210" bestFit="1" customWidth="1"/>
    <col min="15609" max="15609" width="11.625" style="210" bestFit="1" customWidth="1"/>
    <col min="15610" max="15610" width="16.875" style="210" customWidth="1"/>
    <col min="15611" max="15611" width="13.25" style="210" customWidth="1"/>
    <col min="15612" max="15612" width="18.375" style="210" bestFit="1" customWidth="1"/>
    <col min="15613" max="15613" width="15" style="210" bestFit="1" customWidth="1"/>
    <col min="15614" max="15614" width="14.75" style="210" bestFit="1" customWidth="1"/>
    <col min="15615" max="15615" width="14.625" style="210" bestFit="1" customWidth="1"/>
    <col min="15616" max="15616" width="13.75" style="210" bestFit="1" customWidth="1"/>
    <col min="15617" max="15617" width="14.25" style="210" bestFit="1" customWidth="1"/>
    <col min="15618" max="15618" width="15.125" style="210" customWidth="1"/>
    <col min="15619" max="15619" width="20.5" style="210" bestFit="1" customWidth="1"/>
    <col min="15620" max="15620" width="27.875" style="210" bestFit="1" customWidth="1"/>
    <col min="15621" max="15621" width="6.875" style="210" bestFit="1" customWidth="1"/>
    <col min="15622" max="15622" width="5" style="210" bestFit="1" customWidth="1"/>
    <col min="15623" max="15623" width="8" style="210" bestFit="1" customWidth="1"/>
    <col min="15624" max="15624" width="11.875" style="210" bestFit="1" customWidth="1"/>
    <col min="15625" max="15853" width="9" style="210"/>
    <col min="15854" max="15854" width="3.875" style="210" bestFit="1" customWidth="1"/>
    <col min="15855" max="15855" width="16" style="210" bestFit="1" customWidth="1"/>
    <col min="15856" max="15856" width="16.625" style="210" bestFit="1" customWidth="1"/>
    <col min="15857" max="15857" width="13.5" style="210" bestFit="1" customWidth="1"/>
    <col min="15858" max="15859" width="10.875" style="210" bestFit="1" customWidth="1"/>
    <col min="15860" max="15860" width="6.25" style="210" bestFit="1" customWidth="1"/>
    <col min="15861" max="15861" width="8.875" style="210" bestFit="1" customWidth="1"/>
    <col min="15862" max="15862" width="13.875" style="210" bestFit="1" customWidth="1"/>
    <col min="15863" max="15863" width="13.25" style="210" bestFit="1" customWidth="1"/>
    <col min="15864" max="15864" width="16" style="210" bestFit="1" customWidth="1"/>
    <col min="15865" max="15865" width="11.625" style="210" bestFit="1" customWidth="1"/>
    <col min="15866" max="15866" width="16.875" style="210" customWidth="1"/>
    <col min="15867" max="15867" width="13.25" style="210" customWidth="1"/>
    <col min="15868" max="15868" width="18.375" style="210" bestFit="1" customWidth="1"/>
    <col min="15869" max="15869" width="15" style="210" bestFit="1" customWidth="1"/>
    <col min="15870" max="15870" width="14.75" style="210" bestFit="1" customWidth="1"/>
    <col min="15871" max="15871" width="14.625" style="210" bestFit="1" customWidth="1"/>
    <col min="15872" max="15872" width="13.75" style="210" bestFit="1" customWidth="1"/>
    <col min="15873" max="15873" width="14.25" style="210" bestFit="1" customWidth="1"/>
    <col min="15874" max="15874" width="15.125" style="210" customWidth="1"/>
    <col min="15875" max="15875" width="20.5" style="210" bestFit="1" customWidth="1"/>
    <col min="15876" max="15876" width="27.875" style="210" bestFit="1" customWidth="1"/>
    <col min="15877" max="15877" width="6.875" style="210" bestFit="1" customWidth="1"/>
    <col min="15878" max="15878" width="5" style="210" bestFit="1" customWidth="1"/>
    <col min="15879" max="15879" width="8" style="210" bestFit="1" customWidth="1"/>
    <col min="15880" max="15880" width="11.875" style="210" bestFit="1" customWidth="1"/>
    <col min="15881" max="16109" width="9" style="210"/>
    <col min="16110" max="16110" width="3.875" style="210" bestFit="1" customWidth="1"/>
    <col min="16111" max="16111" width="16" style="210" bestFit="1" customWidth="1"/>
    <col min="16112" max="16112" width="16.625" style="210" bestFit="1" customWidth="1"/>
    <col min="16113" max="16113" width="13.5" style="210" bestFit="1" customWidth="1"/>
    <col min="16114" max="16115" width="10.875" style="210" bestFit="1" customWidth="1"/>
    <col min="16116" max="16116" width="6.25" style="210" bestFit="1" customWidth="1"/>
    <col min="16117" max="16117" width="8.875" style="210" bestFit="1" customWidth="1"/>
    <col min="16118" max="16118" width="13.875" style="210" bestFit="1" customWidth="1"/>
    <col min="16119" max="16119" width="13.25" style="210" bestFit="1" customWidth="1"/>
    <col min="16120" max="16120" width="16" style="210" bestFit="1" customWidth="1"/>
    <col min="16121" max="16121" width="11.625" style="210" bestFit="1" customWidth="1"/>
    <col min="16122" max="16122" width="16.875" style="210" customWidth="1"/>
    <col min="16123" max="16123" width="13.25" style="210" customWidth="1"/>
    <col min="16124" max="16124" width="18.375" style="210" bestFit="1" customWidth="1"/>
    <col min="16125" max="16125" width="15" style="210" bestFit="1" customWidth="1"/>
    <col min="16126" max="16126" width="14.75" style="210" bestFit="1" customWidth="1"/>
    <col min="16127" max="16127" width="14.625" style="210" bestFit="1" customWidth="1"/>
    <col min="16128" max="16128" width="13.75" style="210" bestFit="1" customWidth="1"/>
    <col min="16129" max="16129" width="14.25" style="210" bestFit="1" customWidth="1"/>
    <col min="16130" max="16130" width="15.125" style="210" customWidth="1"/>
    <col min="16131" max="16131" width="20.5" style="210" bestFit="1" customWidth="1"/>
    <col min="16132" max="16132" width="27.875" style="210" bestFit="1" customWidth="1"/>
    <col min="16133" max="16133" width="6.875" style="210" bestFit="1" customWidth="1"/>
    <col min="16134" max="16134" width="5" style="210" bestFit="1" customWidth="1"/>
    <col min="16135" max="16135" width="8" style="210" bestFit="1" customWidth="1"/>
    <col min="16136" max="16136" width="11.875" style="210" bestFit="1" customWidth="1"/>
    <col min="16137" max="16384" width="9" style="210"/>
  </cols>
  <sheetData>
    <row r="1" spans="1:29" x14ac:dyDescent="0.3">
      <c r="K1" s="138" t="s">
        <v>356</v>
      </c>
    </row>
    <row r="2" spans="1:29" x14ac:dyDescent="0.3">
      <c r="K2" s="140" t="s">
        <v>1</v>
      </c>
    </row>
    <row r="3" spans="1:29" x14ac:dyDescent="0.3">
      <c r="K3" s="140" t="s">
        <v>265</v>
      </c>
    </row>
    <row r="4" spans="1:29" x14ac:dyDescent="0.3">
      <c r="A4" s="1301" t="s">
        <v>505</v>
      </c>
      <c r="B4" s="1301"/>
      <c r="C4" s="1301"/>
      <c r="D4" s="1301"/>
      <c r="E4" s="1301"/>
      <c r="F4" s="1301"/>
      <c r="G4" s="1301"/>
      <c r="H4" s="1301"/>
      <c r="I4" s="1301"/>
      <c r="J4" s="1301"/>
      <c r="K4" s="1301"/>
    </row>
    <row r="5" spans="1:29" x14ac:dyDescent="0.3">
      <c r="B5" s="210"/>
      <c r="C5" s="210"/>
      <c r="D5" s="210"/>
      <c r="E5" s="210"/>
      <c r="F5" s="210"/>
      <c r="G5" s="210"/>
      <c r="H5" s="210"/>
      <c r="I5" s="210"/>
      <c r="J5" s="210"/>
      <c r="K5" s="210"/>
      <c r="L5" s="228"/>
      <c r="M5" s="228"/>
    </row>
    <row r="6" spans="1:29" x14ac:dyDescent="0.3">
      <c r="A6" s="1158" t="s">
        <v>810</v>
      </c>
      <c r="B6" s="1158"/>
      <c r="C6" s="1158"/>
      <c r="D6" s="1158"/>
      <c r="E6" s="1158"/>
      <c r="F6" s="1158"/>
      <c r="G6" s="1158"/>
      <c r="H6" s="1158"/>
      <c r="I6" s="1158"/>
      <c r="J6" s="1158"/>
      <c r="K6" s="1158"/>
      <c r="L6" s="149"/>
      <c r="M6" s="149"/>
      <c r="N6" s="149"/>
      <c r="O6" s="149"/>
      <c r="P6" s="149"/>
      <c r="Q6" s="149"/>
      <c r="R6" s="149"/>
      <c r="S6" s="149"/>
      <c r="T6" s="149"/>
      <c r="U6" s="149"/>
      <c r="V6" s="149"/>
      <c r="W6" s="149"/>
      <c r="X6" s="149"/>
      <c r="Y6" s="149"/>
      <c r="Z6" s="149"/>
      <c r="AA6" s="149"/>
      <c r="AB6" s="149"/>
      <c r="AC6" s="149"/>
    </row>
    <row r="7" spans="1:29" x14ac:dyDescent="0.3">
      <c r="A7" s="1159" t="s">
        <v>334</v>
      </c>
      <c r="B7" s="1159"/>
      <c r="C7" s="1159"/>
      <c r="D7" s="1159"/>
      <c r="E7" s="1159"/>
      <c r="F7" s="1159"/>
      <c r="G7" s="1159"/>
      <c r="H7" s="1159"/>
      <c r="I7" s="1159"/>
      <c r="J7" s="1159"/>
      <c r="K7" s="1159"/>
      <c r="L7" s="164"/>
      <c r="M7" s="164"/>
      <c r="N7" s="164"/>
      <c r="O7" s="164"/>
      <c r="P7" s="164"/>
      <c r="Q7" s="164"/>
      <c r="R7" s="164"/>
      <c r="S7" s="164"/>
      <c r="T7" s="164"/>
      <c r="U7" s="164"/>
      <c r="V7" s="164"/>
      <c r="W7" s="164"/>
      <c r="X7" s="164"/>
      <c r="Y7" s="164"/>
      <c r="Z7" s="164"/>
      <c r="AA7" s="164"/>
      <c r="AB7" s="164"/>
      <c r="AC7" s="164"/>
    </row>
    <row r="8" spans="1:29" x14ac:dyDescent="0.3">
      <c r="B8" s="210"/>
      <c r="C8" s="210"/>
      <c r="D8" s="210"/>
      <c r="E8" s="210"/>
      <c r="F8" s="210"/>
      <c r="G8" s="210"/>
      <c r="H8" s="210"/>
      <c r="I8" s="210"/>
      <c r="J8" s="210"/>
      <c r="K8" s="210"/>
      <c r="L8" s="223"/>
      <c r="M8" s="223"/>
      <c r="N8" s="223"/>
      <c r="O8" s="223"/>
      <c r="P8" s="223"/>
      <c r="Q8" s="223"/>
      <c r="R8" s="223"/>
      <c r="S8" s="223"/>
      <c r="T8" s="223"/>
      <c r="U8" s="223"/>
      <c r="V8" s="223"/>
      <c r="W8" s="223"/>
      <c r="X8" s="223"/>
      <c r="Y8" s="223"/>
      <c r="Z8" s="223"/>
      <c r="AA8" s="223"/>
      <c r="AB8" s="223"/>
      <c r="AC8" s="223"/>
    </row>
    <row r="9" spans="1:29" x14ac:dyDescent="0.3">
      <c r="A9" s="1160" t="s">
        <v>946</v>
      </c>
      <c r="B9" s="1160"/>
      <c r="C9" s="1160"/>
      <c r="D9" s="1160"/>
      <c r="E9" s="1160"/>
      <c r="F9" s="1160"/>
      <c r="G9" s="1160"/>
      <c r="H9" s="1160"/>
      <c r="I9" s="1160"/>
      <c r="J9" s="1160"/>
      <c r="K9" s="1160"/>
      <c r="L9" s="228"/>
      <c r="M9" s="228"/>
    </row>
    <row r="10" spans="1:29" x14ac:dyDescent="0.3">
      <c r="A10" s="219"/>
      <c r="B10" s="218"/>
      <c r="C10" s="218"/>
      <c r="D10" s="218"/>
      <c r="E10" s="218"/>
      <c r="F10" s="218"/>
      <c r="G10" s="218"/>
      <c r="H10" s="218"/>
      <c r="I10" s="218"/>
      <c r="L10" s="228"/>
      <c r="M10" s="228"/>
    </row>
    <row r="11" spans="1:29" s="212" customFormat="1" x14ac:dyDescent="0.3">
      <c r="A11" s="1316" t="s">
        <v>179</v>
      </c>
      <c r="B11" s="1316" t="s">
        <v>31</v>
      </c>
      <c r="C11" s="1316" t="s">
        <v>4</v>
      </c>
      <c r="D11" s="1316" t="s">
        <v>384</v>
      </c>
      <c r="E11" s="1307" t="s">
        <v>385</v>
      </c>
      <c r="F11" s="1325" t="s">
        <v>846</v>
      </c>
      <c r="G11" s="1310" t="s">
        <v>847</v>
      </c>
      <c r="H11" s="1310"/>
      <c r="I11" s="1316" t="s">
        <v>74</v>
      </c>
      <c r="J11" s="1119" t="s">
        <v>77</v>
      </c>
      <c r="K11" s="1119"/>
      <c r="L11" s="211"/>
      <c r="M11" s="211"/>
      <c r="N11" s="211"/>
      <c r="O11" s="210"/>
      <c r="P11" s="210"/>
      <c r="Q11" s="210"/>
      <c r="R11" s="210"/>
      <c r="S11" s="210"/>
      <c r="T11" s="210"/>
      <c r="U11" s="210"/>
      <c r="V11" s="210"/>
      <c r="W11" s="210"/>
      <c r="X11" s="210"/>
    </row>
    <row r="12" spans="1:29" s="212" customFormat="1" ht="409.5" customHeight="1" x14ac:dyDescent="0.3">
      <c r="A12" s="1318"/>
      <c r="B12" s="1318"/>
      <c r="C12" s="1318"/>
      <c r="D12" s="1318"/>
      <c r="E12" s="1307"/>
      <c r="F12" s="1326"/>
      <c r="G12" s="229" t="s">
        <v>848</v>
      </c>
      <c r="H12" s="229" t="s">
        <v>656</v>
      </c>
      <c r="I12" s="1318"/>
      <c r="J12" s="215" t="s">
        <v>129</v>
      </c>
      <c r="K12" s="215" t="s">
        <v>130</v>
      </c>
      <c r="L12" s="211"/>
      <c r="M12" s="211"/>
      <c r="N12" s="211"/>
      <c r="O12" s="210"/>
      <c r="Q12" s="210"/>
      <c r="R12" s="210"/>
      <c r="S12" s="210"/>
      <c r="T12" s="210"/>
      <c r="U12" s="210"/>
      <c r="V12" s="210"/>
      <c r="W12" s="210"/>
      <c r="X12" s="210"/>
    </row>
    <row r="13" spans="1:29" s="212" customFormat="1" x14ac:dyDescent="0.3">
      <c r="A13" s="216">
        <v>1</v>
      </c>
      <c r="B13" s="216">
        <v>2</v>
      </c>
      <c r="C13" s="216">
        <v>3</v>
      </c>
      <c r="D13" s="216">
        <v>4</v>
      </c>
      <c r="E13" s="216">
        <v>5</v>
      </c>
      <c r="F13" s="216">
        <v>6</v>
      </c>
      <c r="G13" s="216">
        <v>7</v>
      </c>
      <c r="H13" s="216">
        <v>8</v>
      </c>
      <c r="I13" s="216">
        <v>9</v>
      </c>
      <c r="J13" s="216">
        <v>10</v>
      </c>
      <c r="K13" s="216">
        <v>11</v>
      </c>
      <c r="L13" s="211"/>
      <c r="M13" s="211"/>
      <c r="N13" s="211"/>
      <c r="O13" s="210"/>
      <c r="P13" s="210"/>
      <c r="Q13" s="210"/>
      <c r="R13" s="210"/>
      <c r="S13" s="210"/>
      <c r="T13" s="210"/>
      <c r="U13" s="210"/>
      <c r="V13" s="210"/>
      <c r="W13" s="210"/>
      <c r="X13" s="210"/>
    </row>
    <row r="14" spans="1:29" ht="26.25" x14ac:dyDescent="0.3">
      <c r="A14" s="375" t="s">
        <v>711</v>
      </c>
      <c r="B14" s="376" t="s">
        <v>684</v>
      </c>
      <c r="C14" s="294" t="s">
        <v>621</v>
      </c>
      <c r="D14" s="294" t="s">
        <v>621</v>
      </c>
      <c r="E14" s="294" t="s">
        <v>621</v>
      </c>
      <c r="F14" s="294" t="s">
        <v>621</v>
      </c>
      <c r="G14" s="294" t="s">
        <v>621</v>
      </c>
      <c r="H14" s="294" t="s">
        <v>621</v>
      </c>
      <c r="I14" s="294" t="s">
        <v>621</v>
      </c>
      <c r="J14" s="294" t="s">
        <v>621</v>
      </c>
      <c r="K14" s="294" t="s">
        <v>621</v>
      </c>
    </row>
    <row r="15" spans="1:29" ht="51" x14ac:dyDescent="0.3">
      <c r="A15" s="378" t="s">
        <v>713</v>
      </c>
      <c r="B15" s="394" t="s">
        <v>686</v>
      </c>
      <c r="C15" s="712" t="s">
        <v>621</v>
      </c>
      <c r="D15" s="712" t="s">
        <v>621</v>
      </c>
      <c r="E15" s="712" t="s">
        <v>621</v>
      </c>
      <c r="F15" s="712" t="s">
        <v>621</v>
      </c>
      <c r="G15" s="712" t="s">
        <v>621</v>
      </c>
      <c r="H15" s="712" t="s">
        <v>621</v>
      </c>
      <c r="I15" s="712" t="s">
        <v>621</v>
      </c>
      <c r="J15" s="712" t="s">
        <v>621</v>
      </c>
      <c r="K15" s="712" t="s">
        <v>621</v>
      </c>
    </row>
    <row r="16" spans="1:29" ht="26.25" x14ac:dyDescent="0.3">
      <c r="A16" s="380" t="s">
        <v>537</v>
      </c>
      <c r="B16" s="400" t="s">
        <v>691</v>
      </c>
      <c r="C16" s="712" t="s">
        <v>621</v>
      </c>
      <c r="D16" s="712" t="s">
        <v>621</v>
      </c>
      <c r="E16" s="712" t="s">
        <v>621</v>
      </c>
      <c r="F16" s="712" t="s">
        <v>621</v>
      </c>
      <c r="G16" s="712" t="s">
        <v>621</v>
      </c>
      <c r="H16" s="712" t="s">
        <v>621</v>
      </c>
      <c r="I16" s="712" t="s">
        <v>621</v>
      </c>
      <c r="J16" s="712" t="s">
        <v>621</v>
      </c>
      <c r="K16" s="712" t="s">
        <v>621</v>
      </c>
    </row>
    <row r="17" spans="1:14" ht="52.5" x14ac:dyDescent="0.3">
      <c r="A17" s="574" t="s">
        <v>545</v>
      </c>
      <c r="B17" s="697" t="s">
        <v>697</v>
      </c>
      <c r="C17" s="698" t="s">
        <v>621</v>
      </c>
      <c r="D17" s="698" t="s">
        <v>621</v>
      </c>
      <c r="E17" s="698" t="s">
        <v>621</v>
      </c>
      <c r="F17" s="698" t="s">
        <v>621</v>
      </c>
      <c r="G17" s="698" t="s">
        <v>621</v>
      </c>
      <c r="H17" s="698" t="s">
        <v>621</v>
      </c>
      <c r="I17" s="698" t="s">
        <v>621</v>
      </c>
      <c r="J17" s="698" t="s">
        <v>621</v>
      </c>
      <c r="K17" s="698" t="s">
        <v>621</v>
      </c>
    </row>
    <row r="18" spans="1:14" ht="26.25" x14ac:dyDescent="0.3">
      <c r="A18" s="380" t="s">
        <v>595</v>
      </c>
      <c r="B18" s="400" t="s">
        <v>746</v>
      </c>
      <c r="C18" s="712" t="s">
        <v>621</v>
      </c>
      <c r="D18" s="712" t="s">
        <v>621</v>
      </c>
      <c r="E18" s="712" t="s">
        <v>621</v>
      </c>
      <c r="F18" s="712" t="s">
        <v>621</v>
      </c>
      <c r="G18" s="712" t="s">
        <v>621</v>
      </c>
      <c r="H18" s="712" t="s">
        <v>621</v>
      </c>
      <c r="I18" s="712" t="s">
        <v>621</v>
      </c>
      <c r="J18" s="712" t="s">
        <v>621</v>
      </c>
      <c r="K18" s="712" t="s">
        <v>621</v>
      </c>
    </row>
    <row r="19" spans="1:14" s="219" customFormat="1" ht="52.5" x14ac:dyDescent="0.3">
      <c r="A19" s="380" t="s">
        <v>814</v>
      </c>
      <c r="B19" s="400" t="s">
        <v>815</v>
      </c>
      <c r="C19" s="712" t="s">
        <v>1044</v>
      </c>
      <c r="D19" s="293">
        <v>2020</v>
      </c>
      <c r="E19" s="293">
        <v>2020</v>
      </c>
      <c r="F19" s="712" t="s">
        <v>621</v>
      </c>
      <c r="G19" s="712" t="s">
        <v>621</v>
      </c>
      <c r="H19" s="712" t="s">
        <v>621</v>
      </c>
      <c r="I19" s="293" t="s">
        <v>832</v>
      </c>
      <c r="J19" s="293" t="s">
        <v>830</v>
      </c>
      <c r="K19" s="293" t="s">
        <v>830</v>
      </c>
      <c r="L19" s="218"/>
      <c r="M19" s="218"/>
      <c r="N19" s="218"/>
    </row>
    <row r="20" spans="1:14" s="219" customFormat="1" ht="52.5" x14ac:dyDescent="0.3">
      <c r="A20" s="380" t="s">
        <v>813</v>
      </c>
      <c r="B20" s="400" t="s">
        <v>859</v>
      </c>
      <c r="C20" s="712" t="s">
        <v>1045</v>
      </c>
      <c r="D20" s="293">
        <v>2020</v>
      </c>
      <c r="E20" s="293">
        <v>2020</v>
      </c>
      <c r="F20" s="712" t="s">
        <v>621</v>
      </c>
      <c r="G20" s="712" t="s">
        <v>621</v>
      </c>
      <c r="H20" s="712" t="s">
        <v>621</v>
      </c>
      <c r="I20" s="293" t="s">
        <v>832</v>
      </c>
      <c r="J20" s="293" t="s">
        <v>830</v>
      </c>
      <c r="K20" s="293" t="s">
        <v>830</v>
      </c>
      <c r="L20" s="218"/>
      <c r="M20" s="218"/>
      <c r="N20" s="218"/>
    </row>
    <row r="21" spans="1:14" s="219" customFormat="1" ht="105" x14ac:dyDescent="0.3">
      <c r="A21" s="380" t="s">
        <v>817</v>
      </c>
      <c r="B21" s="400" t="s">
        <v>934</v>
      </c>
      <c r="C21" s="712" t="s">
        <v>1046</v>
      </c>
      <c r="D21" s="293">
        <v>2020</v>
      </c>
      <c r="E21" s="293">
        <v>2020</v>
      </c>
      <c r="F21" s="712" t="s">
        <v>621</v>
      </c>
      <c r="G21" s="712" t="s">
        <v>621</v>
      </c>
      <c r="H21" s="712" t="s">
        <v>621</v>
      </c>
      <c r="I21" s="293" t="s">
        <v>832</v>
      </c>
      <c r="J21" s="293" t="s">
        <v>830</v>
      </c>
      <c r="K21" s="293" t="s">
        <v>830</v>
      </c>
      <c r="L21" s="218"/>
      <c r="M21" s="218"/>
      <c r="N21" s="218"/>
    </row>
    <row r="22" spans="1:14" s="219" customFormat="1" ht="78.75" x14ac:dyDescent="0.3">
      <c r="A22" s="380" t="s">
        <v>819</v>
      </c>
      <c r="B22" s="400" t="s">
        <v>816</v>
      </c>
      <c r="C22" s="712" t="s">
        <v>1047</v>
      </c>
      <c r="D22" s="293">
        <v>2021</v>
      </c>
      <c r="E22" s="293">
        <v>2021</v>
      </c>
      <c r="F22" s="712" t="s">
        <v>621</v>
      </c>
      <c r="G22" s="712" t="s">
        <v>621</v>
      </c>
      <c r="H22" s="712" t="s">
        <v>621</v>
      </c>
      <c r="I22" s="293" t="s">
        <v>832</v>
      </c>
      <c r="J22" s="293" t="s">
        <v>830</v>
      </c>
      <c r="K22" s="293" t="s">
        <v>830</v>
      </c>
      <c r="L22" s="218"/>
      <c r="M22" s="218"/>
      <c r="N22" s="218"/>
    </row>
    <row r="23" spans="1:14" s="219" customFormat="1" ht="78.75" x14ac:dyDescent="0.3">
      <c r="A23" s="380" t="s">
        <v>820</v>
      </c>
      <c r="B23" s="400" t="s">
        <v>865</v>
      </c>
      <c r="C23" s="712" t="s">
        <v>1048</v>
      </c>
      <c r="D23" s="293">
        <v>2021</v>
      </c>
      <c r="E23" s="293">
        <v>2021</v>
      </c>
      <c r="F23" s="712" t="s">
        <v>621</v>
      </c>
      <c r="G23" s="712" t="s">
        <v>621</v>
      </c>
      <c r="H23" s="712" t="s">
        <v>621</v>
      </c>
      <c r="I23" s="293" t="s">
        <v>832</v>
      </c>
      <c r="J23" s="293" t="s">
        <v>830</v>
      </c>
      <c r="K23" s="293" t="s">
        <v>830</v>
      </c>
      <c r="L23" s="218"/>
      <c r="M23" s="218"/>
      <c r="N23" s="218"/>
    </row>
    <row r="24" spans="1:14" s="219" customFormat="1" ht="52.5" x14ac:dyDescent="0.3">
      <c r="A24" s="380" t="s">
        <v>863</v>
      </c>
      <c r="B24" s="400" t="s">
        <v>915</v>
      </c>
      <c r="C24" s="712" t="s">
        <v>1049</v>
      </c>
      <c r="D24" s="293">
        <v>2021</v>
      </c>
      <c r="E24" s="293">
        <v>2021</v>
      </c>
      <c r="F24" s="712" t="s">
        <v>621</v>
      </c>
      <c r="G24" s="712" t="s">
        <v>621</v>
      </c>
      <c r="H24" s="712" t="s">
        <v>621</v>
      </c>
      <c r="I24" s="293" t="s">
        <v>832</v>
      </c>
      <c r="J24" s="293" t="s">
        <v>830</v>
      </c>
      <c r="K24" s="293" t="s">
        <v>830</v>
      </c>
      <c r="L24" s="218"/>
      <c r="M24" s="218"/>
      <c r="N24" s="218"/>
    </row>
    <row r="25" spans="1:14" s="219" customFormat="1" ht="52.5" x14ac:dyDescent="0.3">
      <c r="A25" s="380" t="s">
        <v>864</v>
      </c>
      <c r="B25" s="400" t="s">
        <v>818</v>
      </c>
      <c r="C25" s="712" t="s">
        <v>1050</v>
      </c>
      <c r="D25" s="293">
        <v>2022</v>
      </c>
      <c r="E25" s="293">
        <v>2022</v>
      </c>
      <c r="F25" s="712" t="s">
        <v>621</v>
      </c>
      <c r="G25" s="712" t="s">
        <v>621</v>
      </c>
      <c r="H25" s="712" t="s">
        <v>621</v>
      </c>
      <c r="I25" s="293" t="s">
        <v>832</v>
      </c>
      <c r="J25" s="293" t="s">
        <v>830</v>
      </c>
      <c r="K25" s="293" t="s">
        <v>830</v>
      </c>
      <c r="L25" s="218"/>
      <c r="M25" s="218"/>
      <c r="N25" s="218"/>
    </row>
    <row r="26" spans="1:14" s="219" customFormat="1" ht="78.75" x14ac:dyDescent="0.3">
      <c r="A26" s="380" t="s">
        <v>868</v>
      </c>
      <c r="B26" s="400" t="s">
        <v>870</v>
      </c>
      <c r="C26" s="712" t="s">
        <v>1051</v>
      </c>
      <c r="D26" s="293">
        <v>2022</v>
      </c>
      <c r="E26" s="293">
        <v>2022</v>
      </c>
      <c r="F26" s="712" t="s">
        <v>621</v>
      </c>
      <c r="G26" s="712" t="s">
        <v>621</v>
      </c>
      <c r="H26" s="712" t="s">
        <v>621</v>
      </c>
      <c r="I26" s="293" t="s">
        <v>832</v>
      </c>
      <c r="J26" s="293" t="s">
        <v>830</v>
      </c>
      <c r="K26" s="293" t="s">
        <v>830</v>
      </c>
      <c r="L26" s="218"/>
      <c r="M26" s="218"/>
      <c r="N26" s="218"/>
    </row>
    <row r="27" spans="1:14" s="219" customFormat="1" ht="131.25" x14ac:dyDescent="0.3">
      <c r="A27" s="380" t="s">
        <v>869</v>
      </c>
      <c r="B27" s="400" t="s">
        <v>876</v>
      </c>
      <c r="C27" s="712" t="s">
        <v>1052</v>
      </c>
      <c r="D27" s="293">
        <v>2023</v>
      </c>
      <c r="E27" s="293">
        <v>2023</v>
      </c>
      <c r="F27" s="712" t="s">
        <v>621</v>
      </c>
      <c r="G27" s="712" t="s">
        <v>621</v>
      </c>
      <c r="H27" s="712" t="s">
        <v>621</v>
      </c>
      <c r="I27" s="293" t="s">
        <v>832</v>
      </c>
      <c r="J27" s="293" t="s">
        <v>830</v>
      </c>
      <c r="K27" s="293" t="s">
        <v>830</v>
      </c>
      <c r="L27" s="218"/>
      <c r="M27" s="218"/>
      <c r="N27" s="218"/>
    </row>
    <row r="28" spans="1:14" s="219" customFormat="1" ht="52.5" x14ac:dyDescent="0.3">
      <c r="A28" s="380" t="s">
        <v>874</v>
      </c>
      <c r="B28" s="400" t="s">
        <v>821</v>
      </c>
      <c r="C28" s="712" t="s">
        <v>1053</v>
      </c>
      <c r="D28" s="293">
        <v>2024</v>
      </c>
      <c r="E28" s="293">
        <v>2024</v>
      </c>
      <c r="F28" s="712" t="s">
        <v>621</v>
      </c>
      <c r="G28" s="712" t="s">
        <v>621</v>
      </c>
      <c r="H28" s="712" t="s">
        <v>621</v>
      </c>
      <c r="I28" s="293" t="s">
        <v>832</v>
      </c>
      <c r="J28" s="293" t="s">
        <v>830</v>
      </c>
      <c r="K28" s="293" t="s">
        <v>830</v>
      </c>
      <c r="L28" s="218"/>
      <c r="M28" s="218"/>
      <c r="N28" s="218"/>
    </row>
    <row r="29" spans="1:14" s="219" customFormat="1" ht="52.5" x14ac:dyDescent="0.3">
      <c r="A29" s="380" t="s">
        <v>875</v>
      </c>
      <c r="B29" s="400" t="s">
        <v>1042</v>
      </c>
      <c r="C29" s="712" t="s">
        <v>1054</v>
      </c>
      <c r="D29" s="293">
        <v>2024</v>
      </c>
      <c r="E29" s="293">
        <v>2024</v>
      </c>
      <c r="F29" s="712" t="s">
        <v>621</v>
      </c>
      <c r="G29" s="712" t="s">
        <v>621</v>
      </c>
      <c r="H29" s="712" t="s">
        <v>621</v>
      </c>
      <c r="I29" s="293" t="s">
        <v>832</v>
      </c>
      <c r="J29" s="293" t="s">
        <v>830</v>
      </c>
      <c r="K29" s="293" t="s">
        <v>830</v>
      </c>
      <c r="L29" s="218"/>
      <c r="M29" s="218"/>
      <c r="N29" s="218"/>
    </row>
    <row r="30" spans="1:14" s="219" customFormat="1" ht="26.25" x14ac:dyDescent="0.3">
      <c r="A30" s="380" t="s">
        <v>884</v>
      </c>
      <c r="B30" s="400" t="s">
        <v>901</v>
      </c>
      <c r="C30" s="712" t="s">
        <v>1055</v>
      </c>
      <c r="D30" s="293">
        <v>2024</v>
      </c>
      <c r="E30" s="293">
        <v>2024</v>
      </c>
      <c r="F30" s="712" t="s">
        <v>621</v>
      </c>
      <c r="G30" s="712" t="s">
        <v>621</v>
      </c>
      <c r="H30" s="712" t="s">
        <v>621</v>
      </c>
      <c r="I30" s="293" t="s">
        <v>832</v>
      </c>
      <c r="J30" s="293" t="s">
        <v>830</v>
      </c>
      <c r="K30" s="293" t="s">
        <v>830</v>
      </c>
      <c r="L30" s="218"/>
      <c r="M30" s="218"/>
      <c r="N30" s="218"/>
    </row>
    <row r="31" spans="1:14" s="315" customFormat="1" ht="52.5" x14ac:dyDescent="0.3">
      <c r="A31" s="380" t="s">
        <v>1659</v>
      </c>
      <c r="B31" s="381" t="s">
        <v>1671</v>
      </c>
      <c r="C31" s="712" t="s">
        <v>1683</v>
      </c>
      <c r="D31" s="293">
        <v>2021</v>
      </c>
      <c r="E31" s="293">
        <v>2021</v>
      </c>
      <c r="F31" s="712" t="s">
        <v>621</v>
      </c>
      <c r="G31" s="712" t="s">
        <v>621</v>
      </c>
      <c r="H31" s="712" t="s">
        <v>621</v>
      </c>
      <c r="I31" s="293" t="s">
        <v>832</v>
      </c>
      <c r="J31" s="293" t="s">
        <v>830</v>
      </c>
      <c r="K31" s="293" t="s">
        <v>830</v>
      </c>
      <c r="L31" s="314"/>
      <c r="M31" s="314"/>
      <c r="N31" s="314"/>
    </row>
    <row r="32" spans="1:14" s="315" customFormat="1" ht="52.5" x14ac:dyDescent="0.3">
      <c r="A32" s="380" t="s">
        <v>1660</v>
      </c>
      <c r="B32" s="381" t="s">
        <v>1672</v>
      </c>
      <c r="C32" s="712" t="s">
        <v>1684</v>
      </c>
      <c r="D32" s="293">
        <v>2021</v>
      </c>
      <c r="E32" s="293">
        <v>2021</v>
      </c>
      <c r="F32" s="712" t="s">
        <v>621</v>
      </c>
      <c r="G32" s="712" t="s">
        <v>621</v>
      </c>
      <c r="H32" s="712" t="s">
        <v>621</v>
      </c>
      <c r="I32" s="293" t="s">
        <v>832</v>
      </c>
      <c r="J32" s="293" t="s">
        <v>830</v>
      </c>
      <c r="K32" s="293" t="s">
        <v>830</v>
      </c>
      <c r="L32" s="314"/>
      <c r="M32" s="314"/>
      <c r="N32" s="314"/>
    </row>
    <row r="33" spans="1:14" s="315" customFormat="1" ht="52.5" x14ac:dyDescent="0.3">
      <c r="A33" s="380" t="s">
        <v>1661</v>
      </c>
      <c r="B33" s="381" t="s">
        <v>1673</v>
      </c>
      <c r="C33" s="712" t="s">
        <v>1685</v>
      </c>
      <c r="D33" s="293">
        <v>2021</v>
      </c>
      <c r="E33" s="293">
        <v>2021</v>
      </c>
      <c r="F33" s="712" t="s">
        <v>621</v>
      </c>
      <c r="G33" s="712" t="s">
        <v>621</v>
      </c>
      <c r="H33" s="712" t="s">
        <v>621</v>
      </c>
      <c r="I33" s="293" t="s">
        <v>832</v>
      </c>
      <c r="J33" s="293" t="s">
        <v>830</v>
      </c>
      <c r="K33" s="293" t="s">
        <v>830</v>
      </c>
      <c r="L33" s="314"/>
      <c r="M33" s="314"/>
      <c r="N33" s="314"/>
    </row>
    <row r="34" spans="1:14" s="315" customFormat="1" ht="52.5" x14ac:dyDescent="0.3">
      <c r="A34" s="380" t="s">
        <v>1662</v>
      </c>
      <c r="B34" s="381" t="s">
        <v>1674</v>
      </c>
      <c r="C34" s="712" t="s">
        <v>1686</v>
      </c>
      <c r="D34" s="293">
        <v>2021</v>
      </c>
      <c r="E34" s="293">
        <v>2021</v>
      </c>
      <c r="F34" s="712" t="s">
        <v>621</v>
      </c>
      <c r="G34" s="712" t="s">
        <v>621</v>
      </c>
      <c r="H34" s="712" t="s">
        <v>621</v>
      </c>
      <c r="I34" s="293" t="s">
        <v>832</v>
      </c>
      <c r="J34" s="293" t="s">
        <v>830</v>
      </c>
      <c r="K34" s="293" t="s">
        <v>830</v>
      </c>
      <c r="L34" s="314"/>
      <c r="M34" s="314"/>
      <c r="N34" s="314"/>
    </row>
    <row r="35" spans="1:14" s="315" customFormat="1" ht="52.5" x14ac:dyDescent="0.3">
      <c r="A35" s="380" t="s">
        <v>1663</v>
      </c>
      <c r="B35" s="381" t="s">
        <v>1675</v>
      </c>
      <c r="C35" s="712" t="s">
        <v>1687</v>
      </c>
      <c r="D35" s="293">
        <v>2021</v>
      </c>
      <c r="E35" s="293">
        <v>2021</v>
      </c>
      <c r="F35" s="712" t="s">
        <v>621</v>
      </c>
      <c r="G35" s="712" t="s">
        <v>621</v>
      </c>
      <c r="H35" s="712" t="s">
        <v>621</v>
      </c>
      <c r="I35" s="293" t="s">
        <v>832</v>
      </c>
      <c r="J35" s="293" t="s">
        <v>830</v>
      </c>
      <c r="K35" s="293" t="s">
        <v>830</v>
      </c>
      <c r="L35" s="314"/>
      <c r="M35" s="314"/>
      <c r="N35" s="314"/>
    </row>
    <row r="36" spans="1:14" s="315" customFormat="1" ht="52.5" x14ac:dyDescent="0.3">
      <c r="A36" s="380" t="s">
        <v>1664</v>
      </c>
      <c r="B36" s="381" t="s">
        <v>1676</v>
      </c>
      <c r="C36" s="712" t="s">
        <v>1688</v>
      </c>
      <c r="D36" s="293">
        <v>2021</v>
      </c>
      <c r="E36" s="293">
        <v>2021</v>
      </c>
      <c r="F36" s="712" t="s">
        <v>621</v>
      </c>
      <c r="G36" s="712" t="s">
        <v>621</v>
      </c>
      <c r="H36" s="712" t="s">
        <v>621</v>
      </c>
      <c r="I36" s="293" t="s">
        <v>832</v>
      </c>
      <c r="J36" s="293" t="s">
        <v>830</v>
      </c>
      <c r="K36" s="293" t="s">
        <v>830</v>
      </c>
      <c r="L36" s="314"/>
      <c r="M36" s="314"/>
      <c r="N36" s="314"/>
    </row>
    <row r="37" spans="1:14" s="315" customFormat="1" ht="52.5" x14ac:dyDescent="0.3">
      <c r="A37" s="380" t="s">
        <v>1665</v>
      </c>
      <c r="B37" s="381" t="s">
        <v>1677</v>
      </c>
      <c r="C37" s="712" t="s">
        <v>1689</v>
      </c>
      <c r="D37" s="293">
        <v>2021</v>
      </c>
      <c r="E37" s="293">
        <v>2021</v>
      </c>
      <c r="F37" s="712" t="s">
        <v>621</v>
      </c>
      <c r="G37" s="712" t="s">
        <v>621</v>
      </c>
      <c r="H37" s="712" t="s">
        <v>621</v>
      </c>
      <c r="I37" s="293" t="s">
        <v>832</v>
      </c>
      <c r="J37" s="293" t="s">
        <v>830</v>
      </c>
      <c r="K37" s="293" t="s">
        <v>830</v>
      </c>
      <c r="L37" s="314"/>
      <c r="M37" s="314"/>
      <c r="N37" s="314"/>
    </row>
    <row r="38" spans="1:14" s="315" customFormat="1" ht="52.5" x14ac:dyDescent="0.3">
      <c r="A38" s="380" t="s">
        <v>1666</v>
      </c>
      <c r="B38" s="381" t="s">
        <v>1678</v>
      </c>
      <c r="C38" s="712" t="s">
        <v>1690</v>
      </c>
      <c r="D38" s="293">
        <v>2021</v>
      </c>
      <c r="E38" s="293">
        <v>2021</v>
      </c>
      <c r="F38" s="712" t="s">
        <v>621</v>
      </c>
      <c r="G38" s="712" t="s">
        <v>621</v>
      </c>
      <c r="H38" s="712" t="s">
        <v>621</v>
      </c>
      <c r="I38" s="293" t="s">
        <v>832</v>
      </c>
      <c r="J38" s="293" t="s">
        <v>830</v>
      </c>
      <c r="K38" s="293" t="s">
        <v>830</v>
      </c>
      <c r="L38" s="314"/>
      <c r="M38" s="314"/>
      <c r="N38" s="314"/>
    </row>
    <row r="39" spans="1:14" s="315" customFormat="1" ht="52.5" x14ac:dyDescent="0.3">
      <c r="A39" s="380" t="s">
        <v>1667</v>
      </c>
      <c r="B39" s="381" t="s">
        <v>1679</v>
      </c>
      <c r="C39" s="712" t="s">
        <v>1691</v>
      </c>
      <c r="D39" s="293">
        <v>2021</v>
      </c>
      <c r="E39" s="293">
        <v>2021</v>
      </c>
      <c r="F39" s="712" t="s">
        <v>621</v>
      </c>
      <c r="G39" s="712" t="s">
        <v>621</v>
      </c>
      <c r="H39" s="712" t="s">
        <v>621</v>
      </c>
      <c r="I39" s="293" t="s">
        <v>832</v>
      </c>
      <c r="J39" s="293" t="s">
        <v>830</v>
      </c>
      <c r="K39" s="293" t="s">
        <v>830</v>
      </c>
      <c r="L39" s="314"/>
      <c r="M39" s="314"/>
      <c r="N39" s="314"/>
    </row>
    <row r="40" spans="1:14" s="315" customFormat="1" ht="52.5" x14ac:dyDescent="0.3">
      <c r="A40" s="380" t="s">
        <v>1668</v>
      </c>
      <c r="B40" s="381" t="s">
        <v>1680</v>
      </c>
      <c r="C40" s="712" t="s">
        <v>1692</v>
      </c>
      <c r="D40" s="293">
        <v>2021</v>
      </c>
      <c r="E40" s="293">
        <v>2021</v>
      </c>
      <c r="F40" s="712" t="s">
        <v>621</v>
      </c>
      <c r="G40" s="712" t="s">
        <v>621</v>
      </c>
      <c r="H40" s="712" t="s">
        <v>621</v>
      </c>
      <c r="I40" s="293" t="s">
        <v>832</v>
      </c>
      <c r="J40" s="293" t="s">
        <v>830</v>
      </c>
      <c r="K40" s="293" t="s">
        <v>830</v>
      </c>
      <c r="L40" s="314"/>
      <c r="M40" s="314"/>
      <c r="N40" s="314"/>
    </row>
    <row r="41" spans="1:14" s="315" customFormat="1" ht="52.5" x14ac:dyDescent="0.3">
      <c r="A41" s="380" t="s">
        <v>1669</v>
      </c>
      <c r="B41" s="381" t="s">
        <v>1681</v>
      </c>
      <c r="C41" s="712" t="s">
        <v>1693</v>
      </c>
      <c r="D41" s="293">
        <v>2021</v>
      </c>
      <c r="E41" s="293">
        <v>2021</v>
      </c>
      <c r="F41" s="712" t="s">
        <v>621</v>
      </c>
      <c r="G41" s="712" t="s">
        <v>621</v>
      </c>
      <c r="H41" s="712" t="s">
        <v>621</v>
      </c>
      <c r="I41" s="293" t="s">
        <v>832</v>
      </c>
      <c r="J41" s="293" t="s">
        <v>830</v>
      </c>
      <c r="K41" s="293" t="s">
        <v>830</v>
      </c>
      <c r="L41" s="314"/>
      <c r="M41" s="314"/>
      <c r="N41" s="314"/>
    </row>
    <row r="42" spans="1:14" s="315" customFormat="1" ht="52.5" x14ac:dyDescent="0.3">
      <c r="A42" s="380" t="s">
        <v>1670</v>
      </c>
      <c r="B42" s="381" t="s">
        <v>1682</v>
      </c>
      <c r="C42" s="712" t="s">
        <v>1694</v>
      </c>
      <c r="D42" s="293">
        <v>2021</v>
      </c>
      <c r="E42" s="293">
        <v>2021</v>
      </c>
      <c r="F42" s="712" t="s">
        <v>621</v>
      </c>
      <c r="G42" s="712" t="s">
        <v>621</v>
      </c>
      <c r="H42" s="712" t="s">
        <v>621</v>
      </c>
      <c r="I42" s="293" t="s">
        <v>832</v>
      </c>
      <c r="J42" s="293" t="s">
        <v>830</v>
      </c>
      <c r="K42" s="293" t="s">
        <v>830</v>
      </c>
      <c r="L42" s="314"/>
      <c r="M42" s="314"/>
      <c r="N42" s="314"/>
    </row>
    <row r="43" spans="1:14" s="315" customFormat="1" ht="26.25" x14ac:dyDescent="0.3">
      <c r="A43" s="380"/>
      <c r="B43" s="381"/>
      <c r="C43" s="712"/>
      <c r="D43" s="293">
        <v>2022</v>
      </c>
      <c r="E43" s="293">
        <v>2022</v>
      </c>
      <c r="F43" s="712" t="s">
        <v>621</v>
      </c>
      <c r="G43" s="712" t="s">
        <v>621</v>
      </c>
      <c r="H43" s="712" t="s">
        <v>621</v>
      </c>
      <c r="I43" s="293" t="s">
        <v>832</v>
      </c>
      <c r="J43" s="293" t="s">
        <v>830</v>
      </c>
      <c r="K43" s="293" t="s">
        <v>830</v>
      </c>
      <c r="L43" s="314"/>
      <c r="M43" s="314"/>
      <c r="N43" s="314"/>
    </row>
    <row r="44" spans="1:14" s="315" customFormat="1" ht="52.5" x14ac:dyDescent="0.3">
      <c r="A44" s="574" t="s">
        <v>546</v>
      </c>
      <c r="B44" s="573" t="s">
        <v>739</v>
      </c>
      <c r="C44" s="698" t="s">
        <v>621</v>
      </c>
      <c r="D44" s="698">
        <v>2024</v>
      </c>
      <c r="E44" s="698">
        <v>2024</v>
      </c>
      <c r="F44" s="698" t="s">
        <v>621</v>
      </c>
      <c r="G44" s="698" t="s">
        <v>621</v>
      </c>
      <c r="H44" s="698" t="s">
        <v>621</v>
      </c>
      <c r="I44" s="698" t="s">
        <v>832</v>
      </c>
      <c r="J44" s="698" t="s">
        <v>830</v>
      </c>
      <c r="K44" s="698" t="s">
        <v>830</v>
      </c>
      <c r="L44" s="314"/>
      <c r="M44" s="314"/>
      <c r="N44" s="314"/>
    </row>
    <row r="45" spans="1:14" s="315" customFormat="1" ht="52.5" x14ac:dyDescent="0.3">
      <c r="A45" s="380" t="s">
        <v>599</v>
      </c>
      <c r="B45" s="381" t="s">
        <v>740</v>
      </c>
      <c r="C45" s="712" t="s">
        <v>621</v>
      </c>
      <c r="D45" s="293" t="s">
        <v>950</v>
      </c>
      <c r="E45" s="293" t="s">
        <v>950</v>
      </c>
      <c r="F45" s="712" t="s">
        <v>621</v>
      </c>
      <c r="G45" s="712" t="s">
        <v>621</v>
      </c>
      <c r="H45" s="712" t="s">
        <v>621</v>
      </c>
      <c r="I45" s="293" t="s">
        <v>832</v>
      </c>
      <c r="J45" s="293" t="s">
        <v>830</v>
      </c>
      <c r="K45" s="293" t="s">
        <v>830</v>
      </c>
      <c r="L45" s="314"/>
      <c r="M45" s="314"/>
      <c r="N45" s="314"/>
    </row>
    <row r="46" spans="1:14" s="315" customFormat="1" ht="26.25" x14ac:dyDescent="0.3">
      <c r="A46" s="702" t="s">
        <v>947</v>
      </c>
      <c r="B46" s="571" t="s">
        <v>948</v>
      </c>
      <c r="C46" s="712" t="s">
        <v>1056</v>
      </c>
      <c r="D46" s="293" t="s">
        <v>950</v>
      </c>
      <c r="E46" s="293" t="s">
        <v>950</v>
      </c>
      <c r="F46" s="712" t="s">
        <v>621</v>
      </c>
      <c r="G46" s="712" t="s">
        <v>621</v>
      </c>
      <c r="H46" s="712" t="s">
        <v>621</v>
      </c>
      <c r="I46" s="293" t="s">
        <v>832</v>
      </c>
      <c r="J46" s="293" t="s">
        <v>830</v>
      </c>
      <c r="K46" s="293" t="s">
        <v>830</v>
      </c>
      <c r="L46" s="314"/>
      <c r="M46" s="314"/>
      <c r="N46" s="314"/>
    </row>
    <row r="47" spans="1:14" s="219" customFormat="1" ht="52.5" x14ac:dyDescent="0.3">
      <c r="A47" s="574" t="s">
        <v>547</v>
      </c>
      <c r="B47" s="697" t="s">
        <v>705</v>
      </c>
      <c r="C47" s="698" t="s">
        <v>621</v>
      </c>
      <c r="D47" s="698" t="s">
        <v>621</v>
      </c>
      <c r="E47" s="698" t="s">
        <v>621</v>
      </c>
      <c r="F47" s="698" t="s">
        <v>621</v>
      </c>
      <c r="G47" s="698" t="s">
        <v>621</v>
      </c>
      <c r="H47" s="698" t="s">
        <v>621</v>
      </c>
      <c r="I47" s="698" t="s">
        <v>832</v>
      </c>
      <c r="J47" s="698" t="s">
        <v>830</v>
      </c>
      <c r="K47" s="698" t="s">
        <v>830</v>
      </c>
      <c r="L47" s="218"/>
      <c r="M47" s="218"/>
      <c r="N47" s="218"/>
    </row>
    <row r="48" spans="1:14" s="219" customFormat="1" ht="52.5" x14ac:dyDescent="0.3">
      <c r="A48" s="574" t="s">
        <v>604</v>
      </c>
      <c r="B48" s="697" t="s">
        <v>707</v>
      </c>
      <c r="C48" s="698" t="s">
        <v>621</v>
      </c>
      <c r="D48" s="698" t="s">
        <v>621</v>
      </c>
      <c r="E48" s="698" t="s">
        <v>621</v>
      </c>
      <c r="F48" s="698" t="s">
        <v>621</v>
      </c>
      <c r="G48" s="698" t="s">
        <v>621</v>
      </c>
      <c r="H48" s="698" t="s">
        <v>621</v>
      </c>
      <c r="I48" s="698" t="s">
        <v>832</v>
      </c>
      <c r="J48" s="698" t="s">
        <v>830</v>
      </c>
      <c r="K48" s="698" t="s">
        <v>830</v>
      </c>
      <c r="L48" s="218"/>
      <c r="M48" s="218"/>
      <c r="N48" s="218"/>
    </row>
    <row r="49" spans="1:14" s="219" customFormat="1" ht="26.25" x14ac:dyDescent="0.3">
      <c r="A49" s="380" t="s">
        <v>885</v>
      </c>
      <c r="B49" s="400" t="s">
        <v>860</v>
      </c>
      <c r="C49" s="712" t="s">
        <v>1057</v>
      </c>
      <c r="D49" s="293">
        <v>2020</v>
      </c>
      <c r="E49" s="293">
        <v>2020</v>
      </c>
      <c r="F49" s="712" t="s">
        <v>621</v>
      </c>
      <c r="G49" s="712" t="s">
        <v>621</v>
      </c>
      <c r="H49" s="712" t="s">
        <v>621</v>
      </c>
      <c r="I49" s="293" t="s">
        <v>832</v>
      </c>
      <c r="J49" s="293" t="s">
        <v>830</v>
      </c>
      <c r="K49" s="293" t="s">
        <v>830</v>
      </c>
      <c r="L49" s="218"/>
      <c r="M49" s="218"/>
      <c r="N49" s="218"/>
    </row>
    <row r="50" spans="1:14" s="219" customFormat="1" ht="26.25" x14ac:dyDescent="0.3">
      <c r="A50" s="380" t="s">
        <v>886</v>
      </c>
      <c r="B50" s="400" t="s">
        <v>861</v>
      </c>
      <c r="C50" s="712" t="s">
        <v>1058</v>
      </c>
      <c r="D50" s="293">
        <v>2020</v>
      </c>
      <c r="E50" s="293">
        <v>2020</v>
      </c>
      <c r="F50" s="712" t="s">
        <v>621</v>
      </c>
      <c r="G50" s="712" t="s">
        <v>621</v>
      </c>
      <c r="H50" s="712" t="s">
        <v>621</v>
      </c>
      <c r="I50" s="293" t="s">
        <v>832</v>
      </c>
      <c r="J50" s="293" t="s">
        <v>830</v>
      </c>
      <c r="K50" s="293" t="s">
        <v>830</v>
      </c>
      <c r="L50" s="218"/>
      <c r="M50" s="218"/>
      <c r="N50" s="218"/>
    </row>
    <row r="51" spans="1:14" s="219" customFormat="1" ht="26.25" x14ac:dyDescent="0.3">
      <c r="A51" s="380" t="s">
        <v>887</v>
      </c>
      <c r="B51" s="400" t="s">
        <v>862</v>
      </c>
      <c r="C51" s="712" t="s">
        <v>1059</v>
      </c>
      <c r="D51" s="293">
        <v>2020</v>
      </c>
      <c r="E51" s="293">
        <v>2020</v>
      </c>
      <c r="F51" s="712" t="s">
        <v>621</v>
      </c>
      <c r="G51" s="712" t="s">
        <v>621</v>
      </c>
      <c r="H51" s="712" t="s">
        <v>621</v>
      </c>
      <c r="I51" s="293" t="s">
        <v>832</v>
      </c>
      <c r="J51" s="293" t="s">
        <v>830</v>
      </c>
      <c r="K51" s="293" t="s">
        <v>830</v>
      </c>
      <c r="L51" s="218"/>
      <c r="M51" s="218"/>
      <c r="N51" s="218"/>
    </row>
    <row r="52" spans="1:14" s="219" customFormat="1" ht="26.25" x14ac:dyDescent="0.3">
      <c r="A52" s="380" t="s">
        <v>888</v>
      </c>
      <c r="B52" s="400" t="s">
        <v>866</v>
      </c>
      <c r="C52" s="712" t="s">
        <v>1060</v>
      </c>
      <c r="D52" s="293">
        <v>2021</v>
      </c>
      <c r="E52" s="293">
        <v>2021</v>
      </c>
      <c r="F52" s="712" t="s">
        <v>621</v>
      </c>
      <c r="G52" s="712" t="s">
        <v>621</v>
      </c>
      <c r="H52" s="712" t="s">
        <v>621</v>
      </c>
      <c r="I52" s="293" t="s">
        <v>832</v>
      </c>
      <c r="J52" s="293" t="s">
        <v>830</v>
      </c>
      <c r="K52" s="293" t="s">
        <v>830</v>
      </c>
      <c r="L52" s="218"/>
      <c r="M52" s="218"/>
      <c r="N52" s="218"/>
    </row>
    <row r="53" spans="1:14" s="219" customFormat="1" ht="52.5" x14ac:dyDescent="0.3">
      <c r="A53" s="380" t="s">
        <v>889</v>
      </c>
      <c r="B53" s="400" t="s">
        <v>916</v>
      </c>
      <c r="C53" s="712" t="s">
        <v>1061</v>
      </c>
      <c r="D53" s="293">
        <v>2021</v>
      </c>
      <c r="E53" s="293">
        <v>2021</v>
      </c>
      <c r="F53" s="712" t="s">
        <v>621</v>
      </c>
      <c r="G53" s="712" t="s">
        <v>621</v>
      </c>
      <c r="H53" s="712" t="s">
        <v>621</v>
      </c>
      <c r="I53" s="293" t="s">
        <v>832</v>
      </c>
      <c r="J53" s="293" t="s">
        <v>830</v>
      </c>
      <c r="K53" s="293" t="s">
        <v>830</v>
      </c>
      <c r="L53" s="218"/>
      <c r="M53" s="218"/>
      <c r="N53" s="218"/>
    </row>
    <row r="54" spans="1:14" s="219" customFormat="1" ht="26.25" x14ac:dyDescent="0.3">
      <c r="A54" s="380" t="s">
        <v>890</v>
      </c>
      <c r="B54" s="400" t="s">
        <v>871</v>
      </c>
      <c r="C54" s="712" t="s">
        <v>1062</v>
      </c>
      <c r="D54" s="293">
        <v>2022</v>
      </c>
      <c r="E54" s="293">
        <v>2022</v>
      </c>
      <c r="F54" s="712" t="s">
        <v>621</v>
      </c>
      <c r="G54" s="712" t="s">
        <v>621</v>
      </c>
      <c r="H54" s="712" t="s">
        <v>621</v>
      </c>
      <c r="I54" s="293" t="s">
        <v>832</v>
      </c>
      <c r="J54" s="293" t="s">
        <v>830</v>
      </c>
      <c r="K54" s="293" t="s">
        <v>830</v>
      </c>
      <c r="L54" s="218"/>
      <c r="M54" s="218"/>
      <c r="N54" s="218"/>
    </row>
    <row r="55" spans="1:14" s="219" customFormat="1" ht="26.25" x14ac:dyDescent="0.3">
      <c r="A55" s="380" t="s">
        <v>891</v>
      </c>
      <c r="B55" s="400" t="s">
        <v>872</v>
      </c>
      <c r="C55" s="712" t="s">
        <v>1063</v>
      </c>
      <c r="D55" s="293">
        <v>2022</v>
      </c>
      <c r="E55" s="293">
        <v>2022</v>
      </c>
      <c r="F55" s="712" t="s">
        <v>621</v>
      </c>
      <c r="G55" s="712" t="s">
        <v>621</v>
      </c>
      <c r="H55" s="712" t="s">
        <v>621</v>
      </c>
      <c r="I55" s="293" t="s">
        <v>832</v>
      </c>
      <c r="J55" s="293" t="s">
        <v>830</v>
      </c>
      <c r="K55" s="293" t="s">
        <v>830</v>
      </c>
      <c r="L55" s="218"/>
      <c r="M55" s="218"/>
      <c r="N55" s="218"/>
    </row>
    <row r="56" spans="1:14" s="219" customFormat="1" ht="52.5" x14ac:dyDescent="0.3">
      <c r="A56" s="380" t="s">
        <v>892</v>
      </c>
      <c r="B56" s="400" t="s">
        <v>873</v>
      </c>
      <c r="C56" s="712" t="s">
        <v>1064</v>
      </c>
      <c r="D56" s="293">
        <v>2022</v>
      </c>
      <c r="E56" s="293">
        <v>2022</v>
      </c>
      <c r="F56" s="712" t="s">
        <v>621</v>
      </c>
      <c r="G56" s="712" t="s">
        <v>621</v>
      </c>
      <c r="H56" s="712" t="s">
        <v>621</v>
      </c>
      <c r="I56" s="293" t="s">
        <v>832</v>
      </c>
      <c r="J56" s="293" t="s">
        <v>830</v>
      </c>
      <c r="K56" s="293" t="s">
        <v>830</v>
      </c>
      <c r="L56" s="218"/>
      <c r="M56" s="218"/>
      <c r="N56" s="218"/>
    </row>
    <row r="57" spans="1:14" s="219" customFormat="1" ht="26.25" x14ac:dyDescent="0.3">
      <c r="A57" s="380" t="s">
        <v>893</v>
      </c>
      <c r="B57" s="400" t="s">
        <v>877</v>
      </c>
      <c r="C57" s="712" t="s">
        <v>1065</v>
      </c>
      <c r="D57" s="293">
        <v>2023</v>
      </c>
      <c r="E57" s="293">
        <v>2023</v>
      </c>
      <c r="F57" s="712" t="s">
        <v>621</v>
      </c>
      <c r="G57" s="712" t="s">
        <v>621</v>
      </c>
      <c r="H57" s="712" t="s">
        <v>621</v>
      </c>
      <c r="I57" s="293" t="s">
        <v>832</v>
      </c>
      <c r="J57" s="293" t="s">
        <v>830</v>
      </c>
      <c r="K57" s="293" t="s">
        <v>830</v>
      </c>
      <c r="L57" s="218"/>
      <c r="M57" s="218"/>
      <c r="N57" s="218"/>
    </row>
    <row r="58" spans="1:14" s="219" customFormat="1" ht="26.25" x14ac:dyDescent="0.3">
      <c r="A58" s="380" t="s">
        <v>894</v>
      </c>
      <c r="B58" s="400" t="s">
        <v>878</v>
      </c>
      <c r="C58" s="712" t="s">
        <v>1066</v>
      </c>
      <c r="D58" s="293">
        <v>2023</v>
      </c>
      <c r="E58" s="293">
        <v>2023</v>
      </c>
      <c r="F58" s="712" t="s">
        <v>621</v>
      </c>
      <c r="G58" s="712" t="s">
        <v>621</v>
      </c>
      <c r="H58" s="712" t="s">
        <v>621</v>
      </c>
      <c r="I58" s="293" t="s">
        <v>832</v>
      </c>
      <c r="J58" s="293" t="s">
        <v>830</v>
      </c>
      <c r="K58" s="293" t="s">
        <v>830</v>
      </c>
      <c r="L58" s="218"/>
      <c r="M58" s="218"/>
      <c r="N58" s="218"/>
    </row>
    <row r="59" spans="1:14" s="219" customFormat="1" ht="26.25" x14ac:dyDescent="0.3">
      <c r="A59" s="380" t="s">
        <v>895</v>
      </c>
      <c r="B59" s="400" t="s">
        <v>879</v>
      </c>
      <c r="C59" s="712" t="s">
        <v>1067</v>
      </c>
      <c r="D59" s="293">
        <v>2023</v>
      </c>
      <c r="E59" s="293">
        <v>2023</v>
      </c>
      <c r="F59" s="712" t="s">
        <v>621</v>
      </c>
      <c r="G59" s="712" t="s">
        <v>621</v>
      </c>
      <c r="H59" s="712" t="s">
        <v>621</v>
      </c>
      <c r="I59" s="293" t="s">
        <v>832</v>
      </c>
      <c r="J59" s="293" t="s">
        <v>830</v>
      </c>
      <c r="K59" s="293" t="s">
        <v>830</v>
      </c>
      <c r="L59" s="218"/>
      <c r="M59" s="218"/>
      <c r="N59" s="218"/>
    </row>
    <row r="60" spans="1:14" s="219" customFormat="1" ht="26.25" x14ac:dyDescent="0.3">
      <c r="A60" s="380" t="s">
        <v>896</v>
      </c>
      <c r="B60" s="400" t="s">
        <v>880</v>
      </c>
      <c r="C60" s="712" t="s">
        <v>1068</v>
      </c>
      <c r="D60" s="293">
        <v>2023</v>
      </c>
      <c r="E60" s="293">
        <v>2023</v>
      </c>
      <c r="F60" s="712" t="s">
        <v>621</v>
      </c>
      <c r="G60" s="712" t="s">
        <v>621</v>
      </c>
      <c r="H60" s="712" t="s">
        <v>621</v>
      </c>
      <c r="I60" s="293" t="s">
        <v>832</v>
      </c>
      <c r="J60" s="293" t="s">
        <v>830</v>
      </c>
      <c r="K60" s="293" t="s">
        <v>830</v>
      </c>
      <c r="L60" s="218"/>
      <c r="M60" s="218"/>
      <c r="N60" s="218"/>
    </row>
    <row r="61" spans="1:14" s="219" customFormat="1" ht="26.25" x14ac:dyDescent="0.3">
      <c r="A61" s="380" t="s">
        <v>897</v>
      </c>
      <c r="B61" s="400" t="s">
        <v>881</v>
      </c>
      <c r="C61" s="712" t="s">
        <v>1069</v>
      </c>
      <c r="D61" s="293">
        <v>2023</v>
      </c>
      <c r="E61" s="293">
        <v>2023</v>
      </c>
      <c r="F61" s="712" t="s">
        <v>621</v>
      </c>
      <c r="G61" s="712" t="s">
        <v>621</v>
      </c>
      <c r="H61" s="712" t="s">
        <v>621</v>
      </c>
      <c r="I61" s="293" t="s">
        <v>832</v>
      </c>
      <c r="J61" s="293" t="s">
        <v>830</v>
      </c>
      <c r="K61" s="293" t="s">
        <v>830</v>
      </c>
      <c r="L61" s="218"/>
      <c r="M61" s="218"/>
      <c r="N61" s="218"/>
    </row>
    <row r="62" spans="1:14" s="219" customFormat="1" ht="26.25" x14ac:dyDescent="0.3">
      <c r="A62" s="380" t="s">
        <v>898</v>
      </c>
      <c r="B62" s="400" t="s">
        <v>882</v>
      </c>
      <c r="C62" s="712" t="s">
        <v>1070</v>
      </c>
      <c r="D62" s="293">
        <v>2023</v>
      </c>
      <c r="E62" s="293">
        <v>2023</v>
      </c>
      <c r="F62" s="712" t="s">
        <v>621</v>
      </c>
      <c r="G62" s="712" t="s">
        <v>621</v>
      </c>
      <c r="H62" s="712" t="s">
        <v>621</v>
      </c>
      <c r="I62" s="293" t="s">
        <v>832</v>
      </c>
      <c r="J62" s="293" t="s">
        <v>830</v>
      </c>
      <c r="K62" s="293" t="s">
        <v>830</v>
      </c>
      <c r="L62" s="218"/>
      <c r="M62" s="218"/>
      <c r="N62" s="218"/>
    </row>
    <row r="63" spans="1:14" s="219" customFormat="1" ht="26.25" x14ac:dyDescent="0.3">
      <c r="A63" s="380" t="s">
        <v>899</v>
      </c>
      <c r="B63" s="400" t="s">
        <v>883</v>
      </c>
      <c r="C63" s="712" t="s">
        <v>1071</v>
      </c>
      <c r="D63" s="293">
        <v>2023</v>
      </c>
      <c r="E63" s="293">
        <v>2023</v>
      </c>
      <c r="F63" s="712" t="s">
        <v>621</v>
      </c>
      <c r="G63" s="712" t="s">
        <v>621</v>
      </c>
      <c r="H63" s="712" t="s">
        <v>621</v>
      </c>
      <c r="I63" s="293" t="s">
        <v>832</v>
      </c>
      <c r="J63" s="293" t="s">
        <v>830</v>
      </c>
      <c r="K63" s="293" t="s">
        <v>830</v>
      </c>
      <c r="L63" s="218"/>
      <c r="M63" s="218"/>
      <c r="N63" s="218"/>
    </row>
    <row r="64" spans="1:14" s="219" customFormat="1" ht="52.5" x14ac:dyDescent="0.3">
      <c r="A64" s="380" t="s">
        <v>900</v>
      </c>
      <c r="B64" s="400" t="s">
        <v>902</v>
      </c>
      <c r="C64" s="712" t="s">
        <v>1072</v>
      </c>
      <c r="D64" s="293">
        <v>2024</v>
      </c>
      <c r="E64" s="293">
        <v>2024</v>
      </c>
      <c r="F64" s="712" t="s">
        <v>621</v>
      </c>
      <c r="G64" s="712" t="s">
        <v>621</v>
      </c>
      <c r="H64" s="712" t="s">
        <v>621</v>
      </c>
      <c r="I64" s="293" t="s">
        <v>832</v>
      </c>
      <c r="J64" s="293" t="s">
        <v>830</v>
      </c>
      <c r="K64" s="293" t="s">
        <v>830</v>
      </c>
      <c r="L64" s="218"/>
      <c r="M64" s="218"/>
      <c r="N64" s="218"/>
    </row>
    <row r="65" spans="1:18" s="315" customFormat="1" ht="52.5" x14ac:dyDescent="0.3">
      <c r="A65" s="380" t="s">
        <v>919</v>
      </c>
      <c r="B65" s="400" t="s">
        <v>917</v>
      </c>
      <c r="C65" s="712" t="s">
        <v>1073</v>
      </c>
      <c r="D65" s="293">
        <v>2024</v>
      </c>
      <c r="E65" s="293">
        <v>2024</v>
      </c>
      <c r="F65" s="712" t="s">
        <v>621</v>
      </c>
      <c r="G65" s="712" t="s">
        <v>621</v>
      </c>
      <c r="H65" s="712" t="s">
        <v>621</v>
      </c>
      <c r="I65" s="293" t="s">
        <v>832</v>
      </c>
      <c r="J65" s="293" t="s">
        <v>830</v>
      </c>
      <c r="K65" s="293" t="s">
        <v>830</v>
      </c>
      <c r="L65" s="314"/>
      <c r="M65" s="314"/>
      <c r="N65" s="314"/>
    </row>
    <row r="66" spans="1:18" s="315" customFormat="1" ht="26.25" x14ac:dyDescent="0.3">
      <c r="A66" s="153" t="s">
        <v>920</v>
      </c>
      <c r="B66" s="991" t="s">
        <v>1717</v>
      </c>
      <c r="C66" s="630" t="s">
        <v>1735</v>
      </c>
      <c r="D66" s="293">
        <v>2022</v>
      </c>
      <c r="E66" s="293">
        <v>2022</v>
      </c>
      <c r="F66" s="712" t="s">
        <v>621</v>
      </c>
      <c r="G66" s="712" t="s">
        <v>621</v>
      </c>
      <c r="H66" s="712" t="s">
        <v>621</v>
      </c>
      <c r="I66" s="293" t="s">
        <v>832</v>
      </c>
      <c r="J66" s="293" t="s">
        <v>830</v>
      </c>
      <c r="K66" s="293" t="s">
        <v>830</v>
      </c>
      <c r="L66" s="314"/>
      <c r="M66" s="314"/>
      <c r="N66" s="314"/>
    </row>
    <row r="67" spans="1:18" s="315" customFormat="1" ht="26.25" x14ac:dyDescent="0.3">
      <c r="A67" s="153" t="s">
        <v>921</v>
      </c>
      <c r="B67" s="991" t="s">
        <v>1718</v>
      </c>
      <c r="C67" s="630" t="s">
        <v>1731</v>
      </c>
      <c r="D67" s="293">
        <v>2022</v>
      </c>
      <c r="E67" s="293">
        <v>2022</v>
      </c>
      <c r="F67" s="712" t="s">
        <v>621</v>
      </c>
      <c r="G67" s="712" t="s">
        <v>621</v>
      </c>
      <c r="H67" s="712" t="s">
        <v>621</v>
      </c>
      <c r="I67" s="293" t="s">
        <v>832</v>
      </c>
      <c r="J67" s="293" t="s">
        <v>830</v>
      </c>
      <c r="K67" s="293" t="s">
        <v>830</v>
      </c>
      <c r="L67" s="314"/>
      <c r="M67" s="314"/>
      <c r="N67" s="314"/>
    </row>
    <row r="68" spans="1:18" s="315" customFormat="1" ht="26.25" x14ac:dyDescent="0.3">
      <c r="A68" s="574" t="s">
        <v>741</v>
      </c>
      <c r="B68" s="396" t="s">
        <v>1653</v>
      </c>
      <c r="C68" s="706" t="s">
        <v>621</v>
      </c>
      <c r="D68" s="698">
        <v>2021</v>
      </c>
      <c r="E68" s="698">
        <v>2021</v>
      </c>
      <c r="F68" s="698" t="s">
        <v>621</v>
      </c>
      <c r="G68" s="698" t="s">
        <v>621</v>
      </c>
      <c r="H68" s="698" t="s">
        <v>621</v>
      </c>
      <c r="I68" s="698" t="s">
        <v>832</v>
      </c>
      <c r="J68" s="698" t="s">
        <v>830</v>
      </c>
      <c r="K68" s="698" t="s">
        <v>830</v>
      </c>
      <c r="L68" s="314"/>
      <c r="M68" s="314"/>
      <c r="N68" s="314"/>
    </row>
    <row r="69" spans="1:18" ht="52.5" x14ac:dyDescent="0.3">
      <c r="A69" s="380" t="s">
        <v>741</v>
      </c>
      <c r="B69" s="666" t="s">
        <v>1654</v>
      </c>
      <c r="C69" s="667" t="str">
        <f>CONCATENATE("J","_",2021,"_",A69)</f>
        <v>J_2021_1.6</v>
      </c>
      <c r="D69" s="293">
        <v>2021</v>
      </c>
      <c r="E69" s="293">
        <v>2021</v>
      </c>
      <c r="F69" s="712" t="s">
        <v>621</v>
      </c>
      <c r="G69" s="712" t="s">
        <v>621</v>
      </c>
      <c r="H69" s="712" t="s">
        <v>621</v>
      </c>
      <c r="I69" s="293" t="s">
        <v>832</v>
      </c>
      <c r="J69" s="293" t="s">
        <v>830</v>
      </c>
      <c r="K69" s="293" t="s">
        <v>830</v>
      </c>
    </row>
    <row r="70" spans="1:18" ht="30.75" x14ac:dyDescent="0.3">
      <c r="A70" s="687"/>
      <c r="B70" s="652"/>
      <c r="C70" s="282"/>
      <c r="D70" s="688"/>
      <c r="E70" s="688"/>
      <c r="F70" s="282"/>
      <c r="G70" s="282"/>
      <c r="H70" s="282"/>
      <c r="I70" s="688"/>
      <c r="J70" s="688"/>
      <c r="K70" s="688"/>
    </row>
    <row r="71" spans="1:18" x14ac:dyDescent="0.3">
      <c r="A71" s="230"/>
      <c r="B71" s="231"/>
      <c r="C71" s="231"/>
      <c r="D71" s="231"/>
      <c r="E71" s="231"/>
      <c r="F71" s="231"/>
      <c r="G71" s="231"/>
      <c r="H71" s="231"/>
      <c r="I71" s="231"/>
      <c r="J71" s="213"/>
      <c r="K71" s="213"/>
    </row>
    <row r="72" spans="1:18" s="290" customFormat="1" ht="33" x14ac:dyDescent="0.45">
      <c r="A72" s="291"/>
      <c r="B72" s="237" t="s">
        <v>1733</v>
      </c>
      <c r="C72" s="237"/>
      <c r="D72" s="237"/>
      <c r="E72" s="237"/>
      <c r="F72" s="237"/>
      <c r="G72" s="237"/>
      <c r="H72" s="289"/>
      <c r="I72" s="237"/>
      <c r="J72" s="292"/>
      <c r="K72" s="272" t="s">
        <v>1652</v>
      </c>
      <c r="L72" s="289"/>
      <c r="M72" s="289"/>
      <c r="N72" s="289"/>
    </row>
    <row r="73" spans="1:18" x14ac:dyDescent="0.3">
      <c r="A73" s="230"/>
      <c r="B73" s="231"/>
      <c r="C73" s="231"/>
      <c r="D73" s="231"/>
      <c r="E73" s="231"/>
      <c r="F73" s="231"/>
      <c r="G73" s="231"/>
      <c r="H73" s="231"/>
      <c r="I73" s="231"/>
      <c r="J73" s="213"/>
      <c r="K73" s="213"/>
    </row>
    <row r="74" spans="1:18" x14ac:dyDescent="0.3">
      <c r="A74" s="230"/>
      <c r="B74" s="231"/>
      <c r="C74" s="231"/>
      <c r="D74" s="231"/>
      <c r="E74" s="231"/>
      <c r="F74" s="231"/>
      <c r="G74" s="231"/>
      <c r="H74" s="231"/>
      <c r="I74" s="231"/>
      <c r="J74" s="213"/>
      <c r="K74" s="213"/>
    </row>
    <row r="75" spans="1:18" x14ac:dyDescent="0.3">
      <c r="A75" s="230"/>
      <c r="B75" s="231"/>
      <c r="C75" s="231"/>
      <c r="D75" s="231"/>
      <c r="E75" s="231"/>
      <c r="F75" s="231"/>
      <c r="G75" s="231"/>
      <c r="H75" s="231"/>
      <c r="I75" s="231"/>
      <c r="J75" s="213"/>
      <c r="K75" s="213"/>
    </row>
    <row r="76" spans="1:18" x14ac:dyDescent="0.3">
      <c r="A76" s="230"/>
      <c r="B76" s="231"/>
      <c r="C76" s="231"/>
      <c r="D76" s="231"/>
      <c r="E76" s="231"/>
      <c r="F76" s="231"/>
      <c r="G76" s="231"/>
      <c r="H76" s="231"/>
      <c r="I76" s="231"/>
      <c r="J76" s="213"/>
      <c r="K76" s="213"/>
    </row>
    <row r="77" spans="1:18" x14ac:dyDescent="0.3">
      <c r="A77" s="230"/>
      <c r="B77" s="231"/>
      <c r="C77" s="231"/>
      <c r="D77" s="231"/>
      <c r="E77" s="231"/>
      <c r="F77" s="231"/>
      <c r="G77" s="231"/>
      <c r="H77" s="231"/>
      <c r="I77" s="231"/>
      <c r="J77" s="213"/>
      <c r="K77" s="213"/>
    </row>
    <row r="79" spans="1:18" ht="35.25" customHeight="1" x14ac:dyDescent="0.3">
      <c r="A79" s="1324" t="s">
        <v>849</v>
      </c>
      <c r="B79" s="1324"/>
      <c r="C79" s="1324"/>
      <c r="D79" s="1324"/>
      <c r="E79" s="1324"/>
      <c r="F79" s="1324"/>
      <c r="G79" s="1324"/>
      <c r="H79" s="1324"/>
      <c r="I79" s="1324"/>
      <c r="J79" s="1324"/>
      <c r="K79" s="1324"/>
      <c r="L79" s="142"/>
      <c r="M79" s="142"/>
      <c r="N79" s="142"/>
      <c r="O79" s="142"/>
      <c r="P79" s="142"/>
      <c r="Q79" s="142"/>
      <c r="R79" s="142"/>
    </row>
  </sheetData>
  <mergeCells count="14">
    <mergeCell ref="A79:K79"/>
    <mergeCell ref="A4:K4"/>
    <mergeCell ref="A6:K6"/>
    <mergeCell ref="A7:K7"/>
    <mergeCell ref="A9:K9"/>
    <mergeCell ref="J11:K11"/>
    <mergeCell ref="G11:H11"/>
    <mergeCell ref="F11:F12"/>
    <mergeCell ref="D11:D12"/>
    <mergeCell ref="C11:C12"/>
    <mergeCell ref="B11:B12"/>
    <mergeCell ref="A11:A12"/>
    <mergeCell ref="E11:E12"/>
    <mergeCell ref="I11:I12"/>
  </mergeCells>
  <printOptions horizontalCentered="1"/>
  <pageMargins left="0.19685039370078741" right="0.19685039370078741" top="0.55118110236220474" bottom="0.15748031496062992" header="0.31496062992125984" footer="0.31496062992125984"/>
  <pageSetup paperSize="9" scale="37" fitToHeight="0" orientation="landscape" r:id="rId1"/>
  <rowBreaks count="3" manualBreakCount="3">
    <brk id="27" max="10" man="1"/>
    <brk id="46" max="10" man="1"/>
    <brk id="7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F95"/>
  <sheetViews>
    <sheetView view="pageBreakPreview" topLeftCell="A65" zoomScale="40" zoomScaleNormal="70" zoomScaleSheetLayoutView="40" workbookViewId="0">
      <selection activeCell="B81" sqref="B81"/>
    </sheetView>
  </sheetViews>
  <sheetFormatPr defaultRowHeight="23.25" x14ac:dyDescent="0.35"/>
  <cols>
    <col min="1" max="1" width="15.625" style="136" customWidth="1"/>
    <col min="2" max="2" width="65.5" style="136" customWidth="1"/>
    <col min="3" max="3" width="38.75" style="136" customWidth="1"/>
    <col min="4" max="4" width="8.125" style="136" customWidth="1"/>
    <col min="5" max="5" width="17.875" style="136" bestFit="1" customWidth="1"/>
    <col min="6" max="6" width="7.75" style="136" bestFit="1" customWidth="1"/>
    <col min="7" max="7" width="17.875" style="136" bestFit="1" customWidth="1"/>
    <col min="8" max="8" width="17.125" style="136" bestFit="1" customWidth="1"/>
    <col min="9" max="9" width="17.875" style="136" bestFit="1" customWidth="1"/>
    <col min="10" max="10" width="9" style="136" customWidth="1"/>
    <col min="11" max="11" width="17.875" style="136" bestFit="1" customWidth="1"/>
    <col min="12" max="12" width="7.75" style="136" bestFit="1" customWidth="1"/>
    <col min="13" max="13" width="17.875" style="136" bestFit="1" customWidth="1"/>
    <col min="14" max="14" width="16.5" style="136" customWidth="1"/>
    <col min="15" max="15" width="17.875" style="136" bestFit="1" customWidth="1"/>
    <col min="16" max="16" width="7.75" style="136" bestFit="1" customWidth="1"/>
    <col min="17" max="17" width="17.875" style="136" customWidth="1"/>
    <col min="18" max="18" width="7.75" style="136" bestFit="1" customWidth="1"/>
    <col min="19" max="19" width="17.875" style="136" bestFit="1" customWidth="1"/>
    <col min="20" max="20" width="10.75" style="136" bestFit="1" customWidth="1"/>
    <col min="21" max="21" width="30.375" style="136" customWidth="1"/>
    <col min="22" max="22" width="7.75" style="136" bestFit="1" customWidth="1"/>
    <col min="23" max="23" width="17.875" style="136" bestFit="1" customWidth="1"/>
    <col min="24" max="24" width="7.75" style="136" bestFit="1" customWidth="1"/>
    <col min="25" max="25" width="17.875" style="136" bestFit="1" customWidth="1"/>
    <col min="26" max="26" width="7.75" style="136" bestFit="1" customWidth="1"/>
    <col min="27" max="27" width="17.875" style="136" bestFit="1" customWidth="1"/>
    <col min="28" max="28" width="7.75" style="136" bestFit="1" customWidth="1"/>
    <col min="29" max="29" width="17.875" style="136" bestFit="1" customWidth="1"/>
    <col min="30" max="30" width="7.75" style="136" bestFit="1" customWidth="1"/>
    <col min="31" max="31" width="17.875" style="136" bestFit="1" customWidth="1"/>
    <col min="32" max="32" width="7.75" style="136" bestFit="1" customWidth="1"/>
    <col min="33" max="33" width="17.875" style="136" bestFit="1" customWidth="1"/>
    <col min="34" max="34" width="11.25" style="136" customWidth="1"/>
    <col min="35" max="35" width="25.5" style="136" customWidth="1"/>
    <col min="36" max="36" width="13.75" style="136" customWidth="1"/>
    <col min="37" max="37" width="29.875" style="136" customWidth="1"/>
    <col min="38" max="38" width="7.75" style="136" bestFit="1" customWidth="1"/>
    <col min="39" max="39" width="17.875" style="136" bestFit="1" customWidth="1"/>
    <col min="40" max="40" width="7.75" style="136" bestFit="1" customWidth="1"/>
    <col min="41" max="41" width="17.875" style="136" bestFit="1" customWidth="1"/>
    <col min="42" max="42" width="7.75" style="136" bestFit="1" customWidth="1"/>
    <col min="43" max="43" width="17.875" style="136" bestFit="1" customWidth="1"/>
    <col min="44" max="44" width="7.75" style="136" bestFit="1" customWidth="1"/>
    <col min="45" max="45" width="35" style="136" bestFit="1" customWidth="1"/>
    <col min="46" max="16384" width="9" style="136"/>
  </cols>
  <sheetData>
    <row r="1" spans="1:58" x14ac:dyDescent="0.35">
      <c r="AS1" s="364" t="s">
        <v>266</v>
      </c>
    </row>
    <row r="2" spans="1:58" x14ac:dyDescent="0.35">
      <c r="J2" s="365"/>
      <c r="K2" s="1127"/>
      <c r="L2" s="1127"/>
      <c r="M2" s="1127"/>
      <c r="N2" s="1127"/>
      <c r="O2" s="365"/>
      <c r="AS2" s="366" t="s">
        <v>1</v>
      </c>
    </row>
    <row r="3" spans="1:58" x14ac:dyDescent="0.35">
      <c r="J3" s="160"/>
      <c r="K3" s="160"/>
      <c r="L3" s="160"/>
      <c r="M3" s="160"/>
      <c r="N3" s="160"/>
      <c r="O3" s="160"/>
      <c r="AS3" s="366" t="s">
        <v>265</v>
      </c>
    </row>
    <row r="4" spans="1:58" x14ac:dyDescent="0.35">
      <c r="A4" s="1128" t="s">
        <v>673</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row>
    <row r="5" spans="1:58" x14ac:dyDescent="0.35">
      <c r="A5" s="1129" t="s">
        <v>925</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row>
    <row r="6" spans="1:58" ht="15.75" customHeight="1" x14ac:dyDescent="0.35"/>
    <row r="7" spans="1:58" ht="21.75" customHeight="1" x14ac:dyDescent="0.35">
      <c r="A7" s="1130" t="s">
        <v>926</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row>
    <row r="8" spans="1:58" ht="21.75" customHeight="1" x14ac:dyDescent="0.35">
      <c r="A8" s="1126" t="s">
        <v>313</v>
      </c>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row>
    <row r="10" spans="1:58" ht="30" customHeight="1" x14ac:dyDescent="0.35">
      <c r="A10" s="1130" t="s">
        <v>1698</v>
      </c>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row>
    <row r="11" spans="1:58" ht="15" customHeight="1" x14ac:dyDescent="0.3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row>
    <row r="12" spans="1:58" s="160" customFormat="1" ht="26.25" customHeight="1" x14ac:dyDescent="0.35">
      <c r="A12" s="1131" t="s">
        <v>940</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367"/>
      <c r="AU12" s="367"/>
      <c r="AV12" s="367"/>
      <c r="AW12" s="367"/>
      <c r="AX12" s="367"/>
      <c r="AY12" s="367"/>
      <c r="AZ12" s="367"/>
      <c r="BA12" s="367"/>
      <c r="BB12" s="367"/>
      <c r="BC12" s="367"/>
      <c r="BD12" s="367"/>
      <c r="BE12" s="367"/>
      <c r="BF12" s="367"/>
    </row>
    <row r="13" spans="1:58" s="160" customFormat="1" ht="21.75" customHeight="1" x14ac:dyDescent="0.35">
      <c r="A13" s="1131" t="s">
        <v>165</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367"/>
      <c r="AU13" s="367"/>
      <c r="AV13" s="367"/>
      <c r="AW13" s="367"/>
      <c r="AX13" s="367"/>
      <c r="AY13" s="367"/>
      <c r="AZ13" s="367"/>
      <c r="BA13" s="367"/>
      <c r="BB13" s="367"/>
      <c r="BC13" s="367"/>
      <c r="BD13" s="367"/>
      <c r="BE13" s="367"/>
      <c r="BF13" s="367"/>
    </row>
    <row r="14" spans="1:58" s="160" customFormat="1" ht="15.75" customHeight="1" x14ac:dyDescent="0.35">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1"/>
      <c r="AS14" s="1131"/>
      <c r="AT14" s="367"/>
      <c r="AU14" s="367"/>
      <c r="AV14" s="367"/>
      <c r="AW14" s="367"/>
      <c r="AX14" s="367"/>
      <c r="AY14" s="367"/>
      <c r="AZ14" s="367"/>
      <c r="BA14" s="367"/>
      <c r="BB14" s="367"/>
      <c r="BC14" s="367"/>
      <c r="BD14" s="367"/>
      <c r="BE14" s="367"/>
      <c r="BF14" s="367"/>
    </row>
    <row r="15" spans="1:58" s="368" customFormat="1" ht="33.75" customHeight="1" x14ac:dyDescent="0.25">
      <c r="A15" s="1132" t="s">
        <v>179</v>
      </c>
      <c r="B15" s="1132" t="s">
        <v>31</v>
      </c>
      <c r="C15" s="1132" t="s">
        <v>4</v>
      </c>
      <c r="D15" s="1132" t="s">
        <v>166</v>
      </c>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c r="AL15" s="1132"/>
      <c r="AM15" s="1132"/>
      <c r="AN15" s="1132"/>
      <c r="AO15" s="1132"/>
      <c r="AP15" s="1132"/>
      <c r="AQ15" s="1132"/>
      <c r="AR15" s="1132"/>
      <c r="AS15" s="1132"/>
    </row>
    <row r="16" spans="1:58" ht="99.75" customHeight="1" x14ac:dyDescent="0.35">
      <c r="A16" s="1132"/>
      <c r="B16" s="1132"/>
      <c r="C16" s="1132"/>
      <c r="D16" s="1132" t="s">
        <v>58</v>
      </c>
      <c r="E16" s="1132"/>
      <c r="F16" s="1132"/>
      <c r="G16" s="1132"/>
      <c r="H16" s="1132"/>
      <c r="I16" s="1132"/>
      <c r="J16" s="1132" t="s">
        <v>59</v>
      </c>
      <c r="K16" s="1132"/>
      <c r="L16" s="1132"/>
      <c r="M16" s="1132"/>
      <c r="N16" s="1132"/>
      <c r="O16" s="1132"/>
      <c r="P16" s="1132" t="s">
        <v>52</v>
      </c>
      <c r="Q16" s="1132"/>
      <c r="R16" s="1132"/>
      <c r="S16" s="1132"/>
      <c r="T16" s="1132"/>
      <c r="U16" s="1132"/>
      <c r="V16" s="1132" t="s">
        <v>53</v>
      </c>
      <c r="W16" s="1132"/>
      <c r="X16" s="1132"/>
      <c r="Y16" s="1132"/>
      <c r="Z16" s="1132"/>
      <c r="AA16" s="1132"/>
      <c r="AB16" s="1132" t="s">
        <v>33</v>
      </c>
      <c r="AC16" s="1132"/>
      <c r="AD16" s="1132"/>
      <c r="AE16" s="1132"/>
      <c r="AF16" s="1132"/>
      <c r="AG16" s="1132"/>
      <c r="AH16" s="1132" t="s">
        <v>50</v>
      </c>
      <c r="AI16" s="1132"/>
      <c r="AJ16" s="1132"/>
      <c r="AK16" s="1132"/>
      <c r="AL16" s="1132"/>
      <c r="AM16" s="1132"/>
      <c r="AN16" s="1132" t="s">
        <v>51</v>
      </c>
      <c r="AO16" s="1132"/>
      <c r="AP16" s="1132"/>
      <c r="AQ16" s="1132"/>
      <c r="AR16" s="1132"/>
      <c r="AS16" s="1132"/>
    </row>
    <row r="17" spans="1:45" s="369" customFormat="1" ht="192" customHeight="1" x14ac:dyDescent="0.35">
      <c r="A17" s="1132"/>
      <c r="B17" s="1132"/>
      <c r="C17" s="1132"/>
      <c r="D17" s="1133" t="s">
        <v>927</v>
      </c>
      <c r="E17" s="1133"/>
      <c r="F17" s="1133" t="s">
        <v>676</v>
      </c>
      <c r="G17" s="1133"/>
      <c r="H17" s="1133" t="s">
        <v>677</v>
      </c>
      <c r="I17" s="1133"/>
      <c r="J17" s="1133" t="s">
        <v>678</v>
      </c>
      <c r="K17" s="1133"/>
      <c r="L17" s="1133" t="s">
        <v>679</v>
      </c>
      <c r="M17" s="1133"/>
      <c r="N17" s="1133" t="s">
        <v>680</v>
      </c>
      <c r="O17" s="1133"/>
      <c r="P17" s="1133" t="s">
        <v>681</v>
      </c>
      <c r="Q17" s="1133"/>
      <c r="R17" s="1133" t="s">
        <v>682</v>
      </c>
      <c r="S17" s="1133"/>
      <c r="T17" s="1133" t="s">
        <v>1041</v>
      </c>
      <c r="U17" s="1133"/>
      <c r="V17" s="1134" t="s">
        <v>60</v>
      </c>
      <c r="W17" s="1134"/>
      <c r="X17" s="1134" t="s">
        <v>60</v>
      </c>
      <c r="Y17" s="1134"/>
      <c r="Z17" s="1134" t="s">
        <v>0</v>
      </c>
      <c r="AA17" s="1134"/>
      <c r="AB17" s="1134" t="s">
        <v>60</v>
      </c>
      <c r="AC17" s="1134"/>
      <c r="AD17" s="1134" t="s">
        <v>60</v>
      </c>
      <c r="AE17" s="1134"/>
      <c r="AF17" s="1134" t="s">
        <v>0</v>
      </c>
      <c r="AG17" s="1134"/>
      <c r="AH17" s="1132" t="s">
        <v>1656</v>
      </c>
      <c r="AI17" s="1132"/>
      <c r="AJ17" s="1132" t="s">
        <v>1657</v>
      </c>
      <c r="AK17" s="1132"/>
      <c r="AL17" s="1134" t="s">
        <v>0</v>
      </c>
      <c r="AM17" s="1134"/>
      <c r="AN17" s="1134" t="s">
        <v>60</v>
      </c>
      <c r="AO17" s="1134"/>
      <c r="AP17" s="1134" t="s">
        <v>60</v>
      </c>
      <c r="AQ17" s="1134"/>
      <c r="AR17" s="1134" t="s">
        <v>60</v>
      </c>
      <c r="AS17" s="1134"/>
    </row>
    <row r="18" spans="1:45" ht="143.25" customHeight="1" x14ac:dyDescent="0.35">
      <c r="A18" s="1132"/>
      <c r="B18" s="1132"/>
      <c r="C18" s="1132"/>
      <c r="D18" s="161" t="s">
        <v>683</v>
      </c>
      <c r="E18" s="161" t="s">
        <v>163</v>
      </c>
      <c r="F18" s="161" t="s">
        <v>683</v>
      </c>
      <c r="G18" s="161" t="s">
        <v>163</v>
      </c>
      <c r="H18" s="161" t="s">
        <v>683</v>
      </c>
      <c r="I18" s="161" t="s">
        <v>163</v>
      </c>
      <c r="J18" s="161" t="s">
        <v>683</v>
      </c>
      <c r="K18" s="161" t="s">
        <v>163</v>
      </c>
      <c r="L18" s="161" t="s">
        <v>683</v>
      </c>
      <c r="M18" s="161" t="s">
        <v>163</v>
      </c>
      <c r="N18" s="161" t="s">
        <v>683</v>
      </c>
      <c r="O18" s="161" t="s">
        <v>163</v>
      </c>
      <c r="P18" s="161" t="s">
        <v>683</v>
      </c>
      <c r="Q18" s="161" t="s">
        <v>163</v>
      </c>
      <c r="R18" s="161" t="s">
        <v>683</v>
      </c>
      <c r="S18" s="161" t="s">
        <v>163</v>
      </c>
      <c r="T18" s="161" t="s">
        <v>683</v>
      </c>
      <c r="U18" s="161" t="s">
        <v>163</v>
      </c>
      <c r="V18" s="161" t="s">
        <v>683</v>
      </c>
      <c r="W18" s="161" t="s">
        <v>163</v>
      </c>
      <c r="X18" s="161" t="s">
        <v>683</v>
      </c>
      <c r="Y18" s="161" t="s">
        <v>163</v>
      </c>
      <c r="Z18" s="161" t="s">
        <v>683</v>
      </c>
      <c r="AA18" s="161" t="s">
        <v>163</v>
      </c>
      <c r="AB18" s="161" t="s">
        <v>683</v>
      </c>
      <c r="AC18" s="161" t="s">
        <v>163</v>
      </c>
      <c r="AD18" s="161" t="s">
        <v>683</v>
      </c>
      <c r="AE18" s="161" t="s">
        <v>163</v>
      </c>
      <c r="AF18" s="161" t="s">
        <v>683</v>
      </c>
      <c r="AG18" s="161" t="s">
        <v>163</v>
      </c>
      <c r="AH18" s="161" t="s">
        <v>683</v>
      </c>
      <c r="AI18" s="161" t="s">
        <v>163</v>
      </c>
      <c r="AJ18" s="161" t="s">
        <v>683</v>
      </c>
      <c r="AK18" s="161" t="s">
        <v>163</v>
      </c>
      <c r="AL18" s="161" t="s">
        <v>683</v>
      </c>
      <c r="AM18" s="161" t="s">
        <v>163</v>
      </c>
      <c r="AN18" s="161" t="s">
        <v>683</v>
      </c>
      <c r="AO18" s="161" t="s">
        <v>163</v>
      </c>
      <c r="AP18" s="161" t="s">
        <v>683</v>
      </c>
      <c r="AQ18" s="161" t="s">
        <v>163</v>
      </c>
      <c r="AR18" s="161" t="s">
        <v>683</v>
      </c>
      <c r="AS18" s="161" t="s">
        <v>163</v>
      </c>
    </row>
    <row r="19" spans="1:45" x14ac:dyDescent="0.35">
      <c r="A19" s="298">
        <v>1</v>
      </c>
      <c r="B19" s="370">
        <v>2</v>
      </c>
      <c r="C19" s="298">
        <v>3</v>
      </c>
      <c r="D19" s="371" t="s">
        <v>107</v>
      </c>
      <c r="E19" s="371" t="s">
        <v>114</v>
      </c>
      <c r="F19" s="371" t="s">
        <v>115</v>
      </c>
      <c r="G19" s="371" t="s">
        <v>152</v>
      </c>
      <c r="H19" s="371" t="s">
        <v>173</v>
      </c>
      <c r="I19" s="371" t="s">
        <v>173</v>
      </c>
      <c r="J19" s="371" t="s">
        <v>100</v>
      </c>
      <c r="K19" s="371" t="s">
        <v>101</v>
      </c>
      <c r="L19" s="371" t="s">
        <v>116</v>
      </c>
      <c r="M19" s="371" t="s">
        <v>117</v>
      </c>
      <c r="N19" s="371" t="s">
        <v>523</v>
      </c>
      <c r="O19" s="371" t="s">
        <v>812</v>
      </c>
      <c r="P19" s="371" t="s">
        <v>103</v>
      </c>
      <c r="Q19" s="371" t="s">
        <v>104</v>
      </c>
      <c r="R19" s="371" t="s">
        <v>105</v>
      </c>
      <c r="S19" s="371" t="s">
        <v>106</v>
      </c>
      <c r="T19" s="371" t="s">
        <v>172</v>
      </c>
      <c r="U19" s="371" t="s">
        <v>172</v>
      </c>
      <c r="V19" s="371" t="s">
        <v>119</v>
      </c>
      <c r="W19" s="371" t="s">
        <v>120</v>
      </c>
      <c r="X19" s="371" t="s">
        <v>153</v>
      </c>
      <c r="Y19" s="371" t="s">
        <v>154</v>
      </c>
      <c r="Z19" s="371" t="s">
        <v>174</v>
      </c>
      <c r="AA19" s="371" t="s">
        <v>174</v>
      </c>
      <c r="AB19" s="371" t="s">
        <v>122</v>
      </c>
      <c r="AC19" s="371" t="s">
        <v>123</v>
      </c>
      <c r="AD19" s="371" t="s">
        <v>127</v>
      </c>
      <c r="AE19" s="371" t="s">
        <v>128</v>
      </c>
      <c r="AF19" s="371" t="s">
        <v>175</v>
      </c>
      <c r="AG19" s="371" t="s">
        <v>175</v>
      </c>
      <c r="AH19" s="371" t="s">
        <v>155</v>
      </c>
      <c r="AI19" s="371" t="s">
        <v>156</v>
      </c>
      <c r="AJ19" s="371" t="s">
        <v>157</v>
      </c>
      <c r="AK19" s="371" t="s">
        <v>158</v>
      </c>
      <c r="AL19" s="371" t="s">
        <v>176</v>
      </c>
      <c r="AM19" s="371" t="s">
        <v>176</v>
      </c>
      <c r="AN19" s="371" t="s">
        <v>159</v>
      </c>
      <c r="AO19" s="371" t="s">
        <v>160</v>
      </c>
      <c r="AP19" s="371" t="s">
        <v>161</v>
      </c>
      <c r="AQ19" s="371" t="s">
        <v>162</v>
      </c>
      <c r="AR19" s="371" t="s">
        <v>177</v>
      </c>
      <c r="AS19" s="371" t="s">
        <v>177</v>
      </c>
    </row>
    <row r="20" spans="1:45" s="436" customFormat="1" ht="91.5" customHeight="1" x14ac:dyDescent="0.25">
      <c r="A20" s="266" t="s">
        <v>711</v>
      </c>
      <c r="B20" s="267" t="s">
        <v>684</v>
      </c>
      <c r="C20" s="261" t="s">
        <v>621</v>
      </c>
      <c r="D20" s="261" t="s">
        <v>621</v>
      </c>
      <c r="E20" s="261" t="s">
        <v>621</v>
      </c>
      <c r="F20" s="261" t="s">
        <v>621</v>
      </c>
      <c r="G20" s="261" t="s">
        <v>621</v>
      </c>
      <c r="H20" s="261" t="str">
        <f>H29</f>
        <v>нд</v>
      </c>
      <c r="I20" s="261" t="s">
        <v>621</v>
      </c>
      <c r="J20" s="261">
        <v>0.8</v>
      </c>
      <c r="K20" s="261">
        <f>K22</f>
        <v>0</v>
      </c>
      <c r="L20" s="261">
        <f>L22</f>
        <v>15</v>
      </c>
      <c r="M20" s="261">
        <f>M22</f>
        <v>18</v>
      </c>
      <c r="N20" s="254">
        <f>N22</f>
        <v>6.32</v>
      </c>
      <c r="O20" s="254">
        <f>O22</f>
        <v>19.242999999999999</v>
      </c>
      <c r="P20" s="261" t="s">
        <v>621</v>
      </c>
      <c r="Q20" s="261" t="s">
        <v>621</v>
      </c>
      <c r="R20" s="261" t="s">
        <v>621</v>
      </c>
      <c r="S20" s="261" t="s">
        <v>621</v>
      </c>
      <c r="T20" s="261">
        <f>U20</f>
        <v>2762</v>
      </c>
      <c r="U20" s="261">
        <f>U22</f>
        <v>2762</v>
      </c>
      <c r="V20" s="261" t="s">
        <v>621</v>
      </c>
      <c r="W20" s="261" t="s">
        <v>621</v>
      </c>
      <c r="X20" s="261" t="s">
        <v>621</v>
      </c>
      <c r="Y20" s="261" t="s">
        <v>621</v>
      </c>
      <c r="Z20" s="261" t="s">
        <v>621</v>
      </c>
      <c r="AA20" s="261" t="s">
        <v>621</v>
      </c>
      <c r="AB20" s="261" t="s">
        <v>621</v>
      </c>
      <c r="AC20" s="261" t="s">
        <v>621</v>
      </c>
      <c r="AD20" s="261" t="s">
        <v>621</v>
      </c>
      <c r="AE20" s="261" t="s">
        <v>621</v>
      </c>
      <c r="AF20" s="261" t="s">
        <v>621</v>
      </c>
      <c r="AG20" s="261" t="s">
        <v>621</v>
      </c>
      <c r="AH20" s="261" t="s">
        <v>621</v>
      </c>
      <c r="AI20" s="261" t="s">
        <v>621</v>
      </c>
      <c r="AJ20" s="261">
        <f>AK20</f>
        <v>13.66</v>
      </c>
      <c r="AK20" s="261">
        <f>AK22</f>
        <v>13.66</v>
      </c>
      <c r="AL20" s="261" t="s">
        <v>621</v>
      </c>
      <c r="AM20" s="261" t="s">
        <v>621</v>
      </c>
      <c r="AN20" s="261" t="s">
        <v>621</v>
      </c>
      <c r="AO20" s="261" t="s">
        <v>621</v>
      </c>
      <c r="AP20" s="261" t="s">
        <v>621</v>
      </c>
      <c r="AQ20" s="261" t="s">
        <v>621</v>
      </c>
      <c r="AR20" s="261" t="s">
        <v>621</v>
      </c>
      <c r="AS20" s="261" t="s">
        <v>621</v>
      </c>
    </row>
    <row r="21" spans="1:45" s="236" customFormat="1" ht="60" hidden="1" x14ac:dyDescent="0.45">
      <c r="A21" s="268" t="s">
        <v>712</v>
      </c>
      <c r="B21" s="425" t="s">
        <v>685</v>
      </c>
      <c r="C21" s="262" t="s">
        <v>621</v>
      </c>
      <c r="D21" s="262" t="s">
        <v>621</v>
      </c>
      <c r="E21" s="262" t="s">
        <v>621</v>
      </c>
      <c r="F21" s="262" t="s">
        <v>621</v>
      </c>
      <c r="G21" s="262" t="s">
        <v>621</v>
      </c>
      <c r="H21" s="262" t="s">
        <v>621</v>
      </c>
      <c r="I21" s="262" t="s">
        <v>621</v>
      </c>
      <c r="J21" s="262" t="s">
        <v>621</v>
      </c>
      <c r="K21" s="262" t="s">
        <v>621</v>
      </c>
      <c r="L21" s="262" t="s">
        <v>621</v>
      </c>
      <c r="M21" s="262" t="str">
        <f t="shared" ref="M21:M27" si="0">M38</f>
        <v>нд</v>
      </c>
      <c r="N21" s="262" t="s">
        <v>621</v>
      </c>
      <c r="O21" s="262" t="s">
        <v>621</v>
      </c>
      <c r="P21" s="262" t="s">
        <v>621</v>
      </c>
      <c r="Q21" s="262" t="s">
        <v>621</v>
      </c>
      <c r="R21" s="262" t="s">
        <v>621</v>
      </c>
      <c r="S21" s="262" t="s">
        <v>621</v>
      </c>
      <c r="T21" s="921" t="str">
        <f t="shared" ref="T21:T76" si="1">U21</f>
        <v>нд</v>
      </c>
      <c r="U21" s="262" t="s">
        <v>621</v>
      </c>
      <c r="V21" s="262" t="s">
        <v>621</v>
      </c>
      <c r="W21" s="262" t="s">
        <v>621</v>
      </c>
      <c r="X21" s="262" t="s">
        <v>621</v>
      </c>
      <c r="Y21" s="262" t="s">
        <v>621</v>
      </c>
      <c r="Z21" s="262" t="s">
        <v>621</v>
      </c>
      <c r="AA21" s="262" t="s">
        <v>621</v>
      </c>
      <c r="AB21" s="262" t="s">
        <v>621</v>
      </c>
      <c r="AC21" s="262" t="s">
        <v>621</v>
      </c>
      <c r="AD21" s="262" t="s">
        <v>621</v>
      </c>
      <c r="AE21" s="262" t="s">
        <v>621</v>
      </c>
      <c r="AF21" s="262" t="s">
        <v>621</v>
      </c>
      <c r="AG21" s="262" t="s">
        <v>621</v>
      </c>
      <c r="AH21" s="262" t="s">
        <v>621</v>
      </c>
      <c r="AI21" s="262" t="s">
        <v>621</v>
      </c>
      <c r="AJ21" s="262" t="s">
        <v>621</v>
      </c>
      <c r="AK21" s="262" t="s">
        <v>621</v>
      </c>
      <c r="AL21" s="262" t="s">
        <v>621</v>
      </c>
      <c r="AM21" s="262" t="s">
        <v>621</v>
      </c>
      <c r="AN21" s="262" t="s">
        <v>621</v>
      </c>
      <c r="AO21" s="262" t="s">
        <v>621</v>
      </c>
      <c r="AP21" s="262" t="s">
        <v>621</v>
      </c>
      <c r="AQ21" s="262" t="s">
        <v>621</v>
      </c>
      <c r="AR21" s="262" t="s">
        <v>621</v>
      </c>
      <c r="AS21" s="262" t="s">
        <v>621</v>
      </c>
    </row>
    <row r="22" spans="1:45" s="236" customFormat="1" ht="102" customHeight="1" x14ac:dyDescent="0.45">
      <c r="A22" s="268" t="s">
        <v>713</v>
      </c>
      <c r="B22" s="425" t="s">
        <v>686</v>
      </c>
      <c r="C22" s="262" t="s">
        <v>621</v>
      </c>
      <c r="D22" s="262" t="s">
        <v>621</v>
      </c>
      <c r="E22" s="262" t="s">
        <v>621</v>
      </c>
      <c r="F22" s="262" t="s">
        <v>621</v>
      </c>
      <c r="G22" s="262" t="s">
        <v>621</v>
      </c>
      <c r="H22" s="262" t="s">
        <v>621</v>
      </c>
      <c r="I22" s="262" t="s">
        <v>621</v>
      </c>
      <c r="J22" s="262">
        <v>0.8</v>
      </c>
      <c r="K22" s="262">
        <f>K28</f>
        <v>0</v>
      </c>
      <c r="L22" s="262">
        <f>L28</f>
        <v>15</v>
      </c>
      <c r="M22" s="262">
        <f>M28</f>
        <v>18</v>
      </c>
      <c r="N22" s="256">
        <f>N28</f>
        <v>6.32</v>
      </c>
      <c r="O22" s="256">
        <f>O28</f>
        <v>19.242999999999999</v>
      </c>
      <c r="P22" s="262" t="s">
        <v>621</v>
      </c>
      <c r="Q22" s="262" t="s">
        <v>621</v>
      </c>
      <c r="R22" s="262" t="s">
        <v>621</v>
      </c>
      <c r="S22" s="262" t="s">
        <v>621</v>
      </c>
      <c r="T22" s="262">
        <f t="shared" si="1"/>
        <v>2762</v>
      </c>
      <c r="U22" s="262">
        <f>U28</f>
        <v>2762</v>
      </c>
      <c r="V22" s="262" t="s">
        <v>621</v>
      </c>
      <c r="W22" s="262" t="s">
        <v>621</v>
      </c>
      <c r="X22" s="262" t="s">
        <v>621</v>
      </c>
      <c r="Y22" s="262" t="s">
        <v>621</v>
      </c>
      <c r="Z22" s="262" t="s">
        <v>621</v>
      </c>
      <c r="AA22" s="262" t="s">
        <v>621</v>
      </c>
      <c r="AB22" s="262" t="s">
        <v>621</v>
      </c>
      <c r="AC22" s="262" t="s">
        <v>621</v>
      </c>
      <c r="AD22" s="262" t="s">
        <v>621</v>
      </c>
      <c r="AE22" s="262" t="s">
        <v>621</v>
      </c>
      <c r="AF22" s="262" t="s">
        <v>621</v>
      </c>
      <c r="AG22" s="262" t="s">
        <v>621</v>
      </c>
      <c r="AH22" s="262" t="s">
        <v>621</v>
      </c>
      <c r="AI22" s="262" t="s">
        <v>621</v>
      </c>
      <c r="AJ22" s="262">
        <f>AK22</f>
        <v>13.66</v>
      </c>
      <c r="AK22" s="262">
        <f>AK28</f>
        <v>13.66</v>
      </c>
      <c r="AL22" s="262" t="s">
        <v>621</v>
      </c>
      <c r="AM22" s="262" t="s">
        <v>621</v>
      </c>
      <c r="AN22" s="262" t="s">
        <v>621</v>
      </c>
      <c r="AO22" s="262" t="s">
        <v>621</v>
      </c>
      <c r="AP22" s="262" t="s">
        <v>621</v>
      </c>
      <c r="AQ22" s="262" t="s">
        <v>621</v>
      </c>
      <c r="AR22" s="262" t="s">
        <v>621</v>
      </c>
      <c r="AS22" s="262" t="s">
        <v>621</v>
      </c>
    </row>
    <row r="23" spans="1:45" s="236" customFormat="1" ht="180.75" hidden="1" x14ac:dyDescent="0.45">
      <c r="A23" s="268" t="s">
        <v>714</v>
      </c>
      <c r="B23" s="437" t="s">
        <v>687</v>
      </c>
      <c r="C23" s="262" t="s">
        <v>621</v>
      </c>
      <c r="D23" s="262" t="s">
        <v>621</v>
      </c>
      <c r="E23" s="262" t="s">
        <v>621</v>
      </c>
      <c r="F23" s="262" t="s">
        <v>621</v>
      </c>
      <c r="G23" s="262" t="s">
        <v>621</v>
      </c>
      <c r="H23" s="262" t="s">
        <v>621</v>
      </c>
      <c r="I23" s="262" t="s">
        <v>621</v>
      </c>
      <c r="J23" s="262" t="s">
        <v>621</v>
      </c>
      <c r="K23" s="262" t="s">
        <v>621</v>
      </c>
      <c r="L23" s="262" t="s">
        <v>621</v>
      </c>
      <c r="M23" s="262" t="str">
        <f t="shared" si="0"/>
        <v>нд</v>
      </c>
      <c r="N23" s="262" t="s">
        <v>621</v>
      </c>
      <c r="O23" s="262" t="s">
        <v>621</v>
      </c>
      <c r="P23" s="262" t="s">
        <v>621</v>
      </c>
      <c r="Q23" s="262" t="s">
        <v>621</v>
      </c>
      <c r="R23" s="262" t="s">
        <v>621</v>
      </c>
      <c r="S23" s="262" t="s">
        <v>621</v>
      </c>
      <c r="T23" s="262" t="str">
        <f t="shared" si="1"/>
        <v>нд</v>
      </c>
      <c r="U23" s="262" t="s">
        <v>621</v>
      </c>
      <c r="V23" s="262" t="s">
        <v>621</v>
      </c>
      <c r="W23" s="262" t="s">
        <v>621</v>
      </c>
      <c r="X23" s="262" t="s">
        <v>621</v>
      </c>
      <c r="Y23" s="262" t="s">
        <v>621</v>
      </c>
      <c r="Z23" s="262" t="s">
        <v>621</v>
      </c>
      <c r="AA23" s="262" t="s">
        <v>621</v>
      </c>
      <c r="AB23" s="262" t="s">
        <v>621</v>
      </c>
      <c r="AC23" s="262" t="s">
        <v>621</v>
      </c>
      <c r="AD23" s="262" t="s">
        <v>621</v>
      </c>
      <c r="AE23" s="262" t="s">
        <v>621</v>
      </c>
      <c r="AF23" s="262" t="s">
        <v>621</v>
      </c>
      <c r="AG23" s="262" t="s">
        <v>621</v>
      </c>
      <c r="AH23" s="262" t="s">
        <v>621</v>
      </c>
      <c r="AI23" s="262" t="s">
        <v>621</v>
      </c>
      <c r="AJ23" s="262" t="s">
        <v>621</v>
      </c>
      <c r="AK23" s="262" t="s">
        <v>621</v>
      </c>
      <c r="AL23" s="262" t="s">
        <v>621</v>
      </c>
      <c r="AM23" s="262" t="s">
        <v>621</v>
      </c>
      <c r="AN23" s="262" t="s">
        <v>621</v>
      </c>
      <c r="AO23" s="262" t="s">
        <v>621</v>
      </c>
      <c r="AP23" s="262" t="s">
        <v>621</v>
      </c>
      <c r="AQ23" s="262" t="s">
        <v>621</v>
      </c>
      <c r="AR23" s="262" t="s">
        <v>621</v>
      </c>
      <c r="AS23" s="262" t="s">
        <v>621</v>
      </c>
    </row>
    <row r="24" spans="1:45" s="236" customFormat="1" ht="90" hidden="1" x14ac:dyDescent="0.45">
      <c r="A24" s="268" t="s">
        <v>715</v>
      </c>
      <c r="B24" s="425" t="s">
        <v>688</v>
      </c>
      <c r="C24" s="262" t="s">
        <v>621</v>
      </c>
      <c r="D24" s="262" t="s">
        <v>621</v>
      </c>
      <c r="E24" s="262" t="s">
        <v>621</v>
      </c>
      <c r="F24" s="262" t="s">
        <v>621</v>
      </c>
      <c r="G24" s="262" t="s">
        <v>621</v>
      </c>
      <c r="H24" s="262" t="s">
        <v>621</v>
      </c>
      <c r="I24" s="262" t="s">
        <v>621</v>
      </c>
      <c r="J24" s="262" t="s">
        <v>621</v>
      </c>
      <c r="K24" s="262" t="s">
        <v>621</v>
      </c>
      <c r="L24" s="262" t="s">
        <v>621</v>
      </c>
      <c r="M24" s="262" t="str">
        <f t="shared" si="0"/>
        <v>нд</v>
      </c>
      <c r="N24" s="262" t="s">
        <v>621</v>
      </c>
      <c r="O24" s="262" t="s">
        <v>621</v>
      </c>
      <c r="P24" s="262" t="s">
        <v>621</v>
      </c>
      <c r="Q24" s="262" t="s">
        <v>621</v>
      </c>
      <c r="R24" s="262" t="s">
        <v>621</v>
      </c>
      <c r="S24" s="262" t="s">
        <v>621</v>
      </c>
      <c r="T24" s="262" t="str">
        <f t="shared" si="1"/>
        <v>нд</v>
      </c>
      <c r="U24" s="262" t="s">
        <v>621</v>
      </c>
      <c r="V24" s="262" t="s">
        <v>621</v>
      </c>
      <c r="W24" s="262" t="s">
        <v>621</v>
      </c>
      <c r="X24" s="262" t="s">
        <v>621</v>
      </c>
      <c r="Y24" s="262" t="s">
        <v>621</v>
      </c>
      <c r="Z24" s="262" t="s">
        <v>621</v>
      </c>
      <c r="AA24" s="262" t="s">
        <v>621</v>
      </c>
      <c r="AB24" s="262" t="s">
        <v>621</v>
      </c>
      <c r="AC24" s="262" t="s">
        <v>621</v>
      </c>
      <c r="AD24" s="262" t="s">
        <v>621</v>
      </c>
      <c r="AE24" s="262" t="s">
        <v>621</v>
      </c>
      <c r="AF24" s="262" t="s">
        <v>621</v>
      </c>
      <c r="AG24" s="262" t="s">
        <v>621</v>
      </c>
      <c r="AH24" s="262" t="s">
        <v>621</v>
      </c>
      <c r="AI24" s="262" t="s">
        <v>621</v>
      </c>
      <c r="AJ24" s="262" t="s">
        <v>621</v>
      </c>
      <c r="AK24" s="262" t="s">
        <v>621</v>
      </c>
      <c r="AL24" s="262" t="s">
        <v>621</v>
      </c>
      <c r="AM24" s="262" t="s">
        <v>621</v>
      </c>
      <c r="AN24" s="262" t="s">
        <v>621</v>
      </c>
      <c r="AO24" s="262" t="s">
        <v>621</v>
      </c>
      <c r="AP24" s="262" t="s">
        <v>621</v>
      </c>
      <c r="AQ24" s="262" t="s">
        <v>621</v>
      </c>
      <c r="AR24" s="262" t="s">
        <v>621</v>
      </c>
      <c r="AS24" s="262" t="s">
        <v>621</v>
      </c>
    </row>
    <row r="25" spans="1:45" s="236" customFormat="1" ht="90" hidden="1" x14ac:dyDescent="0.45">
      <c r="A25" s="268" t="s">
        <v>716</v>
      </c>
      <c r="B25" s="425" t="s">
        <v>689</v>
      </c>
      <c r="C25" s="262" t="s">
        <v>621</v>
      </c>
      <c r="D25" s="262" t="s">
        <v>621</v>
      </c>
      <c r="E25" s="262" t="s">
        <v>621</v>
      </c>
      <c r="F25" s="262" t="s">
        <v>621</v>
      </c>
      <c r="G25" s="262" t="s">
        <v>621</v>
      </c>
      <c r="H25" s="262" t="s">
        <v>621</v>
      </c>
      <c r="I25" s="262" t="s">
        <v>621</v>
      </c>
      <c r="J25" s="262" t="s">
        <v>621</v>
      </c>
      <c r="K25" s="262" t="s">
        <v>621</v>
      </c>
      <c r="L25" s="262" t="s">
        <v>621</v>
      </c>
      <c r="M25" s="262" t="str">
        <f t="shared" si="0"/>
        <v>нд</v>
      </c>
      <c r="N25" s="262" t="s">
        <v>621</v>
      </c>
      <c r="O25" s="262" t="s">
        <v>621</v>
      </c>
      <c r="P25" s="262" t="s">
        <v>621</v>
      </c>
      <c r="Q25" s="262" t="s">
        <v>621</v>
      </c>
      <c r="R25" s="262" t="s">
        <v>621</v>
      </c>
      <c r="S25" s="262" t="s">
        <v>621</v>
      </c>
      <c r="T25" s="262" t="str">
        <f t="shared" si="1"/>
        <v>нд</v>
      </c>
      <c r="U25" s="262" t="s">
        <v>621</v>
      </c>
      <c r="V25" s="262" t="s">
        <v>621</v>
      </c>
      <c r="W25" s="262" t="s">
        <v>621</v>
      </c>
      <c r="X25" s="262" t="s">
        <v>621</v>
      </c>
      <c r="Y25" s="262" t="s">
        <v>621</v>
      </c>
      <c r="Z25" s="262" t="s">
        <v>621</v>
      </c>
      <c r="AA25" s="262" t="s">
        <v>621</v>
      </c>
      <c r="AB25" s="262" t="s">
        <v>621</v>
      </c>
      <c r="AC25" s="262" t="s">
        <v>621</v>
      </c>
      <c r="AD25" s="262" t="s">
        <v>621</v>
      </c>
      <c r="AE25" s="262" t="s">
        <v>621</v>
      </c>
      <c r="AF25" s="262" t="s">
        <v>621</v>
      </c>
      <c r="AG25" s="262" t="s">
        <v>621</v>
      </c>
      <c r="AH25" s="262" t="s">
        <v>621</v>
      </c>
      <c r="AI25" s="262" t="s">
        <v>621</v>
      </c>
      <c r="AJ25" s="262" t="s">
        <v>621</v>
      </c>
      <c r="AK25" s="262" t="s">
        <v>621</v>
      </c>
      <c r="AL25" s="262" t="s">
        <v>621</v>
      </c>
      <c r="AM25" s="262" t="s">
        <v>621</v>
      </c>
      <c r="AN25" s="262" t="s">
        <v>621</v>
      </c>
      <c r="AO25" s="262" t="s">
        <v>621</v>
      </c>
      <c r="AP25" s="262" t="s">
        <v>621</v>
      </c>
      <c r="AQ25" s="262" t="s">
        <v>621</v>
      </c>
      <c r="AR25" s="262" t="s">
        <v>621</v>
      </c>
      <c r="AS25" s="262" t="s">
        <v>621</v>
      </c>
    </row>
    <row r="26" spans="1:45" s="236" customFormat="1" ht="60.75" hidden="1" x14ac:dyDescent="0.45">
      <c r="A26" s="268" t="s">
        <v>717</v>
      </c>
      <c r="B26" s="437" t="s">
        <v>690</v>
      </c>
      <c r="C26" s="262" t="s">
        <v>621</v>
      </c>
      <c r="D26" s="262" t="s">
        <v>621</v>
      </c>
      <c r="E26" s="262" t="s">
        <v>621</v>
      </c>
      <c r="F26" s="262" t="s">
        <v>621</v>
      </c>
      <c r="G26" s="262" t="s">
        <v>621</v>
      </c>
      <c r="H26" s="262" t="s">
        <v>621</v>
      </c>
      <c r="I26" s="262" t="s">
        <v>621</v>
      </c>
      <c r="J26" s="262" t="s">
        <v>621</v>
      </c>
      <c r="K26" s="262" t="s">
        <v>621</v>
      </c>
      <c r="L26" s="262" t="s">
        <v>621</v>
      </c>
      <c r="M26" s="262" t="str">
        <f t="shared" si="0"/>
        <v>нд</v>
      </c>
      <c r="N26" s="262" t="s">
        <v>621</v>
      </c>
      <c r="O26" s="262" t="s">
        <v>621</v>
      </c>
      <c r="P26" s="262" t="s">
        <v>621</v>
      </c>
      <c r="Q26" s="262" t="s">
        <v>621</v>
      </c>
      <c r="R26" s="262" t="s">
        <v>621</v>
      </c>
      <c r="S26" s="262" t="s">
        <v>621</v>
      </c>
      <c r="T26" s="262" t="str">
        <f t="shared" si="1"/>
        <v>нд</v>
      </c>
      <c r="U26" s="262" t="s">
        <v>621</v>
      </c>
      <c r="V26" s="262" t="s">
        <v>621</v>
      </c>
      <c r="W26" s="262" t="s">
        <v>621</v>
      </c>
      <c r="X26" s="262" t="s">
        <v>621</v>
      </c>
      <c r="Y26" s="262" t="s">
        <v>621</v>
      </c>
      <c r="Z26" s="262" t="s">
        <v>621</v>
      </c>
      <c r="AA26" s="262" t="s">
        <v>621</v>
      </c>
      <c r="AB26" s="262" t="s">
        <v>621</v>
      </c>
      <c r="AC26" s="262" t="s">
        <v>621</v>
      </c>
      <c r="AD26" s="262" t="s">
        <v>621</v>
      </c>
      <c r="AE26" s="262" t="s">
        <v>621</v>
      </c>
      <c r="AF26" s="262" t="s">
        <v>621</v>
      </c>
      <c r="AG26" s="262" t="s">
        <v>621</v>
      </c>
      <c r="AH26" s="262" t="s">
        <v>621</v>
      </c>
      <c r="AI26" s="262" t="s">
        <v>621</v>
      </c>
      <c r="AJ26" s="262" t="s">
        <v>621</v>
      </c>
      <c r="AK26" s="262" t="s">
        <v>621</v>
      </c>
      <c r="AL26" s="262" t="s">
        <v>621</v>
      </c>
      <c r="AM26" s="262" t="s">
        <v>621</v>
      </c>
      <c r="AN26" s="262" t="s">
        <v>621</v>
      </c>
      <c r="AO26" s="262" t="s">
        <v>621</v>
      </c>
      <c r="AP26" s="262" t="s">
        <v>621</v>
      </c>
      <c r="AQ26" s="262" t="s">
        <v>621</v>
      </c>
      <c r="AR26" s="262" t="s">
        <v>621</v>
      </c>
      <c r="AS26" s="262" t="s">
        <v>621</v>
      </c>
    </row>
    <row r="27" spans="1:45" s="236" customFormat="1" ht="30.75" hidden="1" x14ac:dyDescent="0.45">
      <c r="A27" s="316"/>
      <c r="B27" s="426"/>
      <c r="C27" s="262" t="s">
        <v>621</v>
      </c>
      <c r="D27" s="262" t="s">
        <v>621</v>
      </c>
      <c r="E27" s="262" t="s">
        <v>621</v>
      </c>
      <c r="F27" s="262" t="s">
        <v>621</v>
      </c>
      <c r="G27" s="262" t="s">
        <v>621</v>
      </c>
      <c r="H27" s="262" t="s">
        <v>621</v>
      </c>
      <c r="I27" s="262" t="s">
        <v>621</v>
      </c>
      <c r="J27" s="262" t="s">
        <v>621</v>
      </c>
      <c r="K27" s="262" t="s">
        <v>621</v>
      </c>
      <c r="L27" s="262" t="s">
        <v>621</v>
      </c>
      <c r="M27" s="262" t="str">
        <f t="shared" si="0"/>
        <v>нд</v>
      </c>
      <c r="N27" s="262" t="s">
        <v>621</v>
      </c>
      <c r="O27" s="262" t="s">
        <v>621</v>
      </c>
      <c r="P27" s="262" t="s">
        <v>621</v>
      </c>
      <c r="Q27" s="262" t="s">
        <v>621</v>
      </c>
      <c r="R27" s="262" t="s">
        <v>621</v>
      </c>
      <c r="S27" s="262" t="s">
        <v>621</v>
      </c>
      <c r="T27" s="262" t="str">
        <f t="shared" si="1"/>
        <v>нд</v>
      </c>
      <c r="U27" s="262" t="s">
        <v>621</v>
      </c>
      <c r="V27" s="262" t="s">
        <v>621</v>
      </c>
      <c r="W27" s="262" t="s">
        <v>621</v>
      </c>
      <c r="X27" s="262" t="s">
        <v>621</v>
      </c>
      <c r="Y27" s="262" t="s">
        <v>621</v>
      </c>
      <c r="Z27" s="262" t="s">
        <v>621</v>
      </c>
      <c r="AA27" s="262" t="s">
        <v>621</v>
      </c>
      <c r="AB27" s="262" t="s">
        <v>621</v>
      </c>
      <c r="AC27" s="262" t="s">
        <v>621</v>
      </c>
      <c r="AD27" s="262" t="s">
        <v>621</v>
      </c>
      <c r="AE27" s="262" t="s">
        <v>621</v>
      </c>
      <c r="AF27" s="262" t="s">
        <v>621</v>
      </c>
      <c r="AG27" s="262" t="s">
        <v>621</v>
      </c>
      <c r="AH27" s="262" t="s">
        <v>621</v>
      </c>
      <c r="AI27" s="262" t="s">
        <v>621</v>
      </c>
      <c r="AJ27" s="262" t="s">
        <v>621</v>
      </c>
      <c r="AK27" s="262" t="s">
        <v>621</v>
      </c>
      <c r="AL27" s="262" t="s">
        <v>621</v>
      </c>
      <c r="AM27" s="262" t="s">
        <v>621</v>
      </c>
      <c r="AN27" s="262" t="s">
        <v>621</v>
      </c>
      <c r="AO27" s="262" t="s">
        <v>621</v>
      </c>
      <c r="AP27" s="262" t="s">
        <v>621</v>
      </c>
      <c r="AQ27" s="262" t="s">
        <v>621</v>
      </c>
      <c r="AR27" s="262" t="s">
        <v>621</v>
      </c>
      <c r="AS27" s="262" t="s">
        <v>621</v>
      </c>
    </row>
    <row r="28" spans="1:45" s="236" customFormat="1" ht="30.75" x14ac:dyDescent="0.45">
      <c r="A28" s="316" t="s">
        <v>537</v>
      </c>
      <c r="B28" s="426" t="s">
        <v>691</v>
      </c>
      <c r="C28" s="262" t="s">
        <v>621</v>
      </c>
      <c r="D28" s="262" t="s">
        <v>621</v>
      </c>
      <c r="E28" s="262" t="s">
        <v>621</v>
      </c>
      <c r="F28" s="262" t="s">
        <v>621</v>
      </c>
      <c r="G28" s="262" t="s">
        <v>621</v>
      </c>
      <c r="H28" s="262" t="s">
        <v>621</v>
      </c>
      <c r="I28" s="262" t="s">
        <v>621</v>
      </c>
      <c r="J28" s="262">
        <v>0.8</v>
      </c>
      <c r="K28" s="262">
        <f>K45</f>
        <v>0</v>
      </c>
      <c r="L28" s="262">
        <f>L45</f>
        <v>15</v>
      </c>
      <c r="M28" s="262">
        <f>M45</f>
        <v>18</v>
      </c>
      <c r="N28" s="256">
        <f>N45</f>
        <v>6.32</v>
      </c>
      <c r="O28" s="256">
        <f>O45</f>
        <v>19.242999999999999</v>
      </c>
      <c r="P28" s="262" t="s">
        <v>621</v>
      </c>
      <c r="Q28" s="262" t="s">
        <v>621</v>
      </c>
      <c r="R28" s="262" t="s">
        <v>621</v>
      </c>
      <c r="S28" s="262" t="s">
        <v>621</v>
      </c>
      <c r="T28" s="262">
        <f t="shared" si="1"/>
        <v>2762</v>
      </c>
      <c r="U28" s="262">
        <f>U67</f>
        <v>2762</v>
      </c>
      <c r="V28" s="262" t="s">
        <v>621</v>
      </c>
      <c r="W28" s="262" t="s">
        <v>621</v>
      </c>
      <c r="X28" s="262" t="s">
        <v>621</v>
      </c>
      <c r="Y28" s="262" t="s">
        <v>621</v>
      </c>
      <c r="Z28" s="262" t="s">
        <v>621</v>
      </c>
      <c r="AA28" s="262" t="s">
        <v>621</v>
      </c>
      <c r="AB28" s="262" t="s">
        <v>621</v>
      </c>
      <c r="AC28" s="262" t="s">
        <v>621</v>
      </c>
      <c r="AD28" s="262" t="s">
        <v>621</v>
      </c>
      <c r="AE28" s="262" t="s">
        <v>621</v>
      </c>
      <c r="AF28" s="262" t="s">
        <v>621</v>
      </c>
      <c r="AG28" s="262" t="s">
        <v>621</v>
      </c>
      <c r="AH28" s="262" t="s">
        <v>621</v>
      </c>
      <c r="AI28" s="262" t="s">
        <v>621</v>
      </c>
      <c r="AJ28" s="262">
        <f>AK28</f>
        <v>13.66</v>
      </c>
      <c r="AK28" s="262">
        <f>AK89</f>
        <v>13.66</v>
      </c>
      <c r="AL28" s="262" t="s">
        <v>621</v>
      </c>
      <c r="AM28" s="262" t="s">
        <v>621</v>
      </c>
      <c r="AN28" s="262" t="s">
        <v>621</v>
      </c>
      <c r="AO28" s="262" t="s">
        <v>621</v>
      </c>
      <c r="AP28" s="262" t="s">
        <v>621</v>
      </c>
      <c r="AQ28" s="262" t="s">
        <v>621</v>
      </c>
      <c r="AR28" s="262" t="s">
        <v>621</v>
      </c>
      <c r="AS28" s="262" t="s">
        <v>621</v>
      </c>
    </row>
    <row r="29" spans="1:45" s="236" customFormat="1" ht="60" hidden="1" x14ac:dyDescent="0.45">
      <c r="A29" s="268" t="s">
        <v>538</v>
      </c>
      <c r="B29" s="425" t="s">
        <v>692</v>
      </c>
      <c r="C29" s="262" t="s">
        <v>621</v>
      </c>
      <c r="D29" s="262" t="s">
        <v>621</v>
      </c>
      <c r="E29" s="262" t="s">
        <v>621</v>
      </c>
      <c r="F29" s="262" t="s">
        <v>621</v>
      </c>
      <c r="G29" s="262" t="s">
        <v>621</v>
      </c>
      <c r="H29" s="262" t="s">
        <v>621</v>
      </c>
      <c r="I29" s="262" t="s">
        <v>621</v>
      </c>
      <c r="J29" s="262" t="s">
        <v>621</v>
      </c>
      <c r="K29" s="262" t="s">
        <v>621</v>
      </c>
      <c r="L29" s="262" t="s">
        <v>621</v>
      </c>
      <c r="M29" s="262" t="str">
        <f t="shared" ref="M29:M80" si="2">L29</f>
        <v>нд</v>
      </c>
      <c r="N29" s="262" t="s">
        <v>621</v>
      </c>
      <c r="O29" s="262" t="s">
        <v>621</v>
      </c>
      <c r="P29" s="262" t="s">
        <v>621</v>
      </c>
      <c r="Q29" s="262" t="s">
        <v>621</v>
      </c>
      <c r="R29" s="262" t="s">
        <v>621</v>
      </c>
      <c r="S29" s="262" t="s">
        <v>621</v>
      </c>
      <c r="T29" s="921" t="str">
        <f t="shared" si="1"/>
        <v>нд</v>
      </c>
      <c r="U29" s="262" t="s">
        <v>621</v>
      </c>
      <c r="V29" s="262" t="s">
        <v>621</v>
      </c>
      <c r="W29" s="262" t="s">
        <v>621</v>
      </c>
      <c r="X29" s="262" t="s">
        <v>621</v>
      </c>
      <c r="Y29" s="262" t="s">
        <v>621</v>
      </c>
      <c r="Z29" s="262" t="s">
        <v>621</v>
      </c>
      <c r="AA29" s="262" t="s">
        <v>621</v>
      </c>
      <c r="AB29" s="262" t="s">
        <v>621</v>
      </c>
      <c r="AC29" s="262" t="s">
        <v>621</v>
      </c>
      <c r="AD29" s="262" t="s">
        <v>621</v>
      </c>
      <c r="AE29" s="262" t="s">
        <v>621</v>
      </c>
      <c r="AF29" s="262" t="s">
        <v>621</v>
      </c>
      <c r="AG29" s="262" t="s">
        <v>621</v>
      </c>
      <c r="AH29" s="262" t="s">
        <v>621</v>
      </c>
      <c r="AI29" s="262" t="s">
        <v>621</v>
      </c>
      <c r="AJ29" s="262" t="s">
        <v>621</v>
      </c>
      <c r="AK29" s="262" t="s">
        <v>621</v>
      </c>
      <c r="AL29" s="262" t="s">
        <v>621</v>
      </c>
      <c r="AM29" s="262" t="s">
        <v>621</v>
      </c>
      <c r="AN29" s="262" t="s">
        <v>621</v>
      </c>
      <c r="AO29" s="262" t="s">
        <v>621</v>
      </c>
      <c r="AP29" s="262" t="s">
        <v>621</v>
      </c>
      <c r="AQ29" s="262" t="s">
        <v>621</v>
      </c>
      <c r="AR29" s="262" t="s">
        <v>621</v>
      </c>
      <c r="AS29" s="262" t="s">
        <v>621</v>
      </c>
    </row>
    <row r="30" spans="1:45" s="236" customFormat="1" ht="92.25" hidden="1" x14ac:dyDescent="0.45">
      <c r="A30" s="316" t="s">
        <v>540</v>
      </c>
      <c r="B30" s="426" t="s">
        <v>725</v>
      </c>
      <c r="C30" s="262" t="s">
        <v>621</v>
      </c>
      <c r="D30" s="262" t="s">
        <v>621</v>
      </c>
      <c r="E30" s="262" t="s">
        <v>621</v>
      </c>
      <c r="F30" s="262" t="s">
        <v>621</v>
      </c>
      <c r="G30" s="262" t="s">
        <v>621</v>
      </c>
      <c r="H30" s="262" t="s">
        <v>621</v>
      </c>
      <c r="I30" s="262" t="s">
        <v>621</v>
      </c>
      <c r="J30" s="262" t="s">
        <v>621</v>
      </c>
      <c r="K30" s="262" t="s">
        <v>621</v>
      </c>
      <c r="L30" s="262" t="s">
        <v>621</v>
      </c>
      <c r="M30" s="262" t="str">
        <f t="shared" si="2"/>
        <v>нд</v>
      </c>
      <c r="N30" s="262" t="s">
        <v>621</v>
      </c>
      <c r="O30" s="262" t="s">
        <v>621</v>
      </c>
      <c r="P30" s="262" t="s">
        <v>621</v>
      </c>
      <c r="Q30" s="262" t="s">
        <v>621</v>
      </c>
      <c r="R30" s="262" t="s">
        <v>621</v>
      </c>
      <c r="S30" s="262" t="s">
        <v>621</v>
      </c>
      <c r="T30" s="921" t="str">
        <f t="shared" si="1"/>
        <v>нд</v>
      </c>
      <c r="U30" s="262" t="s">
        <v>621</v>
      </c>
      <c r="V30" s="262" t="s">
        <v>621</v>
      </c>
      <c r="W30" s="262" t="s">
        <v>621</v>
      </c>
      <c r="X30" s="262" t="s">
        <v>621</v>
      </c>
      <c r="Y30" s="262" t="s">
        <v>621</v>
      </c>
      <c r="Z30" s="262" t="s">
        <v>621</v>
      </c>
      <c r="AA30" s="262" t="s">
        <v>621</v>
      </c>
      <c r="AB30" s="262" t="s">
        <v>621</v>
      </c>
      <c r="AC30" s="262" t="s">
        <v>621</v>
      </c>
      <c r="AD30" s="262" t="s">
        <v>621</v>
      </c>
      <c r="AE30" s="262" t="s">
        <v>621</v>
      </c>
      <c r="AF30" s="262" t="s">
        <v>621</v>
      </c>
      <c r="AG30" s="262" t="s">
        <v>621</v>
      </c>
      <c r="AH30" s="262" t="s">
        <v>621</v>
      </c>
      <c r="AI30" s="262" t="s">
        <v>621</v>
      </c>
      <c r="AJ30" s="262" t="s">
        <v>621</v>
      </c>
      <c r="AK30" s="262" t="s">
        <v>621</v>
      </c>
      <c r="AL30" s="262" t="s">
        <v>621</v>
      </c>
      <c r="AM30" s="262" t="s">
        <v>621</v>
      </c>
      <c r="AN30" s="262" t="s">
        <v>621</v>
      </c>
      <c r="AO30" s="262" t="s">
        <v>621</v>
      </c>
      <c r="AP30" s="262" t="s">
        <v>621</v>
      </c>
      <c r="AQ30" s="262" t="s">
        <v>621</v>
      </c>
      <c r="AR30" s="262" t="s">
        <v>621</v>
      </c>
      <c r="AS30" s="262" t="s">
        <v>621</v>
      </c>
    </row>
    <row r="31" spans="1:45" s="236" customFormat="1" ht="153.75" hidden="1" x14ac:dyDescent="0.45">
      <c r="A31" s="316" t="s">
        <v>568</v>
      </c>
      <c r="B31" s="426" t="s">
        <v>726</v>
      </c>
      <c r="C31" s="262" t="s">
        <v>621</v>
      </c>
      <c r="D31" s="262" t="s">
        <v>621</v>
      </c>
      <c r="E31" s="262" t="s">
        <v>621</v>
      </c>
      <c r="F31" s="262" t="s">
        <v>621</v>
      </c>
      <c r="G31" s="262" t="s">
        <v>621</v>
      </c>
      <c r="H31" s="262" t="s">
        <v>621</v>
      </c>
      <c r="I31" s="262" t="s">
        <v>621</v>
      </c>
      <c r="J31" s="262" t="s">
        <v>621</v>
      </c>
      <c r="K31" s="262" t="s">
        <v>621</v>
      </c>
      <c r="L31" s="262" t="s">
        <v>621</v>
      </c>
      <c r="M31" s="262" t="str">
        <f t="shared" si="2"/>
        <v>нд</v>
      </c>
      <c r="N31" s="262" t="s">
        <v>621</v>
      </c>
      <c r="O31" s="262" t="s">
        <v>621</v>
      </c>
      <c r="P31" s="262" t="s">
        <v>621</v>
      </c>
      <c r="Q31" s="262" t="s">
        <v>621</v>
      </c>
      <c r="R31" s="262" t="s">
        <v>621</v>
      </c>
      <c r="S31" s="262" t="s">
        <v>621</v>
      </c>
      <c r="T31" s="921" t="str">
        <f t="shared" si="1"/>
        <v>нд</v>
      </c>
      <c r="U31" s="262" t="s">
        <v>621</v>
      </c>
      <c r="V31" s="262" t="s">
        <v>621</v>
      </c>
      <c r="W31" s="262" t="s">
        <v>621</v>
      </c>
      <c r="X31" s="262" t="s">
        <v>621</v>
      </c>
      <c r="Y31" s="262" t="s">
        <v>621</v>
      </c>
      <c r="Z31" s="262" t="s">
        <v>621</v>
      </c>
      <c r="AA31" s="262" t="s">
        <v>621</v>
      </c>
      <c r="AB31" s="262" t="s">
        <v>621</v>
      </c>
      <c r="AC31" s="262" t="s">
        <v>621</v>
      </c>
      <c r="AD31" s="262" t="s">
        <v>621</v>
      </c>
      <c r="AE31" s="262" t="s">
        <v>621</v>
      </c>
      <c r="AF31" s="262" t="s">
        <v>621</v>
      </c>
      <c r="AG31" s="262" t="s">
        <v>621</v>
      </c>
      <c r="AH31" s="262" t="s">
        <v>621</v>
      </c>
      <c r="AI31" s="262" t="s">
        <v>621</v>
      </c>
      <c r="AJ31" s="262" t="s">
        <v>621</v>
      </c>
      <c r="AK31" s="262" t="s">
        <v>621</v>
      </c>
      <c r="AL31" s="262" t="s">
        <v>621</v>
      </c>
      <c r="AM31" s="262" t="s">
        <v>621</v>
      </c>
      <c r="AN31" s="262" t="s">
        <v>621</v>
      </c>
      <c r="AO31" s="262" t="s">
        <v>621</v>
      </c>
      <c r="AP31" s="262" t="s">
        <v>621</v>
      </c>
      <c r="AQ31" s="262" t="s">
        <v>621</v>
      </c>
      <c r="AR31" s="262" t="s">
        <v>621</v>
      </c>
      <c r="AS31" s="262" t="s">
        <v>621</v>
      </c>
    </row>
    <row r="32" spans="1:45" s="236" customFormat="1" ht="153.75" hidden="1" x14ac:dyDescent="0.45">
      <c r="A32" s="316" t="s">
        <v>569</v>
      </c>
      <c r="B32" s="426" t="s">
        <v>727</v>
      </c>
      <c r="C32" s="262" t="s">
        <v>621</v>
      </c>
      <c r="D32" s="262" t="s">
        <v>621</v>
      </c>
      <c r="E32" s="262" t="s">
        <v>621</v>
      </c>
      <c r="F32" s="262" t="s">
        <v>621</v>
      </c>
      <c r="G32" s="262" t="s">
        <v>621</v>
      </c>
      <c r="H32" s="262" t="s">
        <v>621</v>
      </c>
      <c r="I32" s="262" t="s">
        <v>621</v>
      </c>
      <c r="J32" s="262" t="s">
        <v>621</v>
      </c>
      <c r="K32" s="262" t="s">
        <v>621</v>
      </c>
      <c r="L32" s="262" t="s">
        <v>621</v>
      </c>
      <c r="M32" s="262" t="str">
        <f t="shared" si="2"/>
        <v>нд</v>
      </c>
      <c r="N32" s="262" t="s">
        <v>621</v>
      </c>
      <c r="O32" s="262" t="s">
        <v>621</v>
      </c>
      <c r="P32" s="262" t="s">
        <v>621</v>
      </c>
      <c r="Q32" s="262" t="s">
        <v>621</v>
      </c>
      <c r="R32" s="262" t="s">
        <v>621</v>
      </c>
      <c r="S32" s="262" t="s">
        <v>621</v>
      </c>
      <c r="T32" s="921" t="str">
        <f t="shared" si="1"/>
        <v>нд</v>
      </c>
      <c r="U32" s="262" t="s">
        <v>621</v>
      </c>
      <c r="V32" s="262" t="s">
        <v>621</v>
      </c>
      <c r="W32" s="262" t="s">
        <v>621</v>
      </c>
      <c r="X32" s="262" t="s">
        <v>621</v>
      </c>
      <c r="Y32" s="262" t="s">
        <v>621</v>
      </c>
      <c r="Z32" s="262" t="s">
        <v>621</v>
      </c>
      <c r="AA32" s="262" t="s">
        <v>621</v>
      </c>
      <c r="AB32" s="262" t="s">
        <v>621</v>
      </c>
      <c r="AC32" s="262" t="s">
        <v>621</v>
      </c>
      <c r="AD32" s="262" t="s">
        <v>621</v>
      </c>
      <c r="AE32" s="262" t="s">
        <v>621</v>
      </c>
      <c r="AF32" s="262" t="s">
        <v>621</v>
      </c>
      <c r="AG32" s="262" t="s">
        <v>621</v>
      </c>
      <c r="AH32" s="262" t="s">
        <v>621</v>
      </c>
      <c r="AI32" s="262" t="s">
        <v>621</v>
      </c>
      <c r="AJ32" s="262" t="s">
        <v>621</v>
      </c>
      <c r="AK32" s="262" t="s">
        <v>621</v>
      </c>
      <c r="AL32" s="262" t="s">
        <v>621</v>
      </c>
      <c r="AM32" s="262" t="s">
        <v>621</v>
      </c>
      <c r="AN32" s="262" t="s">
        <v>621</v>
      </c>
      <c r="AO32" s="262" t="s">
        <v>621</v>
      </c>
      <c r="AP32" s="262" t="s">
        <v>621</v>
      </c>
      <c r="AQ32" s="262" t="s">
        <v>621</v>
      </c>
      <c r="AR32" s="262" t="s">
        <v>621</v>
      </c>
      <c r="AS32" s="262" t="s">
        <v>621</v>
      </c>
    </row>
    <row r="33" spans="1:45" s="236" customFormat="1" ht="123" hidden="1" x14ac:dyDescent="0.45">
      <c r="A33" s="316" t="s">
        <v>570</v>
      </c>
      <c r="B33" s="426" t="s">
        <v>728</v>
      </c>
      <c r="C33" s="262" t="s">
        <v>621</v>
      </c>
      <c r="D33" s="262" t="s">
        <v>621</v>
      </c>
      <c r="E33" s="262" t="s">
        <v>621</v>
      </c>
      <c r="F33" s="262" t="s">
        <v>621</v>
      </c>
      <c r="G33" s="262" t="s">
        <v>621</v>
      </c>
      <c r="H33" s="262" t="s">
        <v>621</v>
      </c>
      <c r="I33" s="262" t="s">
        <v>621</v>
      </c>
      <c r="J33" s="262" t="s">
        <v>621</v>
      </c>
      <c r="K33" s="262" t="s">
        <v>621</v>
      </c>
      <c r="L33" s="262" t="s">
        <v>621</v>
      </c>
      <c r="M33" s="262" t="str">
        <f t="shared" si="2"/>
        <v>нд</v>
      </c>
      <c r="N33" s="262" t="s">
        <v>621</v>
      </c>
      <c r="O33" s="262" t="s">
        <v>621</v>
      </c>
      <c r="P33" s="262" t="s">
        <v>621</v>
      </c>
      <c r="Q33" s="262" t="s">
        <v>621</v>
      </c>
      <c r="R33" s="262" t="s">
        <v>621</v>
      </c>
      <c r="S33" s="262" t="s">
        <v>621</v>
      </c>
      <c r="T33" s="921" t="str">
        <f t="shared" si="1"/>
        <v>нд</v>
      </c>
      <c r="U33" s="262" t="s">
        <v>621</v>
      </c>
      <c r="V33" s="262" t="s">
        <v>621</v>
      </c>
      <c r="W33" s="262" t="s">
        <v>621</v>
      </c>
      <c r="X33" s="262" t="s">
        <v>621</v>
      </c>
      <c r="Y33" s="262" t="s">
        <v>621</v>
      </c>
      <c r="Z33" s="262" t="s">
        <v>621</v>
      </c>
      <c r="AA33" s="262" t="s">
        <v>621</v>
      </c>
      <c r="AB33" s="262" t="s">
        <v>621</v>
      </c>
      <c r="AC33" s="262" t="s">
        <v>621</v>
      </c>
      <c r="AD33" s="262" t="s">
        <v>621</v>
      </c>
      <c r="AE33" s="262" t="s">
        <v>621</v>
      </c>
      <c r="AF33" s="262" t="s">
        <v>621</v>
      </c>
      <c r="AG33" s="262" t="s">
        <v>621</v>
      </c>
      <c r="AH33" s="262" t="s">
        <v>621</v>
      </c>
      <c r="AI33" s="262" t="s">
        <v>621</v>
      </c>
      <c r="AJ33" s="262" t="s">
        <v>621</v>
      </c>
      <c r="AK33" s="262" t="s">
        <v>621</v>
      </c>
      <c r="AL33" s="262" t="s">
        <v>621</v>
      </c>
      <c r="AM33" s="262" t="s">
        <v>621</v>
      </c>
      <c r="AN33" s="262" t="s">
        <v>621</v>
      </c>
      <c r="AO33" s="262" t="s">
        <v>621</v>
      </c>
      <c r="AP33" s="262" t="s">
        <v>621</v>
      </c>
      <c r="AQ33" s="262" t="s">
        <v>621</v>
      </c>
      <c r="AR33" s="262" t="s">
        <v>621</v>
      </c>
      <c r="AS33" s="262" t="s">
        <v>621</v>
      </c>
    </row>
    <row r="34" spans="1:45" s="236" customFormat="1" ht="92.25" hidden="1" x14ac:dyDescent="0.45">
      <c r="A34" s="316" t="s">
        <v>541</v>
      </c>
      <c r="B34" s="426" t="s">
        <v>729</v>
      </c>
      <c r="C34" s="262" t="s">
        <v>621</v>
      </c>
      <c r="D34" s="262" t="s">
        <v>621</v>
      </c>
      <c r="E34" s="262" t="s">
        <v>621</v>
      </c>
      <c r="F34" s="262" t="s">
        <v>621</v>
      </c>
      <c r="G34" s="262" t="s">
        <v>621</v>
      </c>
      <c r="H34" s="262" t="s">
        <v>621</v>
      </c>
      <c r="I34" s="262" t="s">
        <v>621</v>
      </c>
      <c r="J34" s="262" t="s">
        <v>621</v>
      </c>
      <c r="K34" s="262" t="s">
        <v>621</v>
      </c>
      <c r="L34" s="262" t="s">
        <v>621</v>
      </c>
      <c r="M34" s="262" t="str">
        <f t="shared" si="2"/>
        <v>нд</v>
      </c>
      <c r="N34" s="262" t="s">
        <v>621</v>
      </c>
      <c r="O34" s="262" t="s">
        <v>621</v>
      </c>
      <c r="P34" s="262" t="s">
        <v>621</v>
      </c>
      <c r="Q34" s="262" t="s">
        <v>621</v>
      </c>
      <c r="R34" s="262" t="s">
        <v>621</v>
      </c>
      <c r="S34" s="262" t="s">
        <v>621</v>
      </c>
      <c r="T34" s="921" t="str">
        <f t="shared" si="1"/>
        <v>нд</v>
      </c>
      <c r="U34" s="262" t="s">
        <v>621</v>
      </c>
      <c r="V34" s="262" t="s">
        <v>621</v>
      </c>
      <c r="W34" s="262" t="s">
        <v>621</v>
      </c>
      <c r="X34" s="262" t="s">
        <v>621</v>
      </c>
      <c r="Y34" s="262" t="s">
        <v>621</v>
      </c>
      <c r="Z34" s="262" t="s">
        <v>621</v>
      </c>
      <c r="AA34" s="262" t="s">
        <v>621</v>
      </c>
      <c r="AB34" s="262" t="s">
        <v>621</v>
      </c>
      <c r="AC34" s="262" t="s">
        <v>621</v>
      </c>
      <c r="AD34" s="262" t="s">
        <v>621</v>
      </c>
      <c r="AE34" s="262" t="s">
        <v>621</v>
      </c>
      <c r="AF34" s="262" t="s">
        <v>621</v>
      </c>
      <c r="AG34" s="262" t="s">
        <v>621</v>
      </c>
      <c r="AH34" s="262" t="s">
        <v>621</v>
      </c>
      <c r="AI34" s="262" t="s">
        <v>621</v>
      </c>
      <c r="AJ34" s="262" t="s">
        <v>621</v>
      </c>
      <c r="AK34" s="262" t="s">
        <v>621</v>
      </c>
      <c r="AL34" s="262" t="s">
        <v>621</v>
      </c>
      <c r="AM34" s="262" t="s">
        <v>621</v>
      </c>
      <c r="AN34" s="262" t="s">
        <v>621</v>
      </c>
      <c r="AO34" s="262" t="s">
        <v>621</v>
      </c>
      <c r="AP34" s="262" t="s">
        <v>621</v>
      </c>
      <c r="AQ34" s="262" t="s">
        <v>621</v>
      </c>
      <c r="AR34" s="262" t="s">
        <v>621</v>
      </c>
      <c r="AS34" s="262" t="s">
        <v>621</v>
      </c>
    </row>
    <row r="35" spans="1:45" s="236" customFormat="1" ht="153.75" hidden="1" x14ac:dyDescent="0.45">
      <c r="A35" s="316" t="s">
        <v>572</v>
      </c>
      <c r="B35" s="426" t="s">
        <v>730</v>
      </c>
      <c r="C35" s="262" t="s">
        <v>621</v>
      </c>
      <c r="D35" s="262" t="s">
        <v>621</v>
      </c>
      <c r="E35" s="262" t="s">
        <v>621</v>
      </c>
      <c r="F35" s="262" t="s">
        <v>621</v>
      </c>
      <c r="G35" s="262" t="s">
        <v>621</v>
      </c>
      <c r="H35" s="262" t="s">
        <v>621</v>
      </c>
      <c r="I35" s="262" t="s">
        <v>621</v>
      </c>
      <c r="J35" s="262" t="s">
        <v>621</v>
      </c>
      <c r="K35" s="262" t="s">
        <v>621</v>
      </c>
      <c r="L35" s="262" t="s">
        <v>621</v>
      </c>
      <c r="M35" s="262" t="str">
        <f t="shared" si="2"/>
        <v>нд</v>
      </c>
      <c r="N35" s="262" t="s">
        <v>621</v>
      </c>
      <c r="O35" s="262" t="s">
        <v>621</v>
      </c>
      <c r="P35" s="262" t="s">
        <v>621</v>
      </c>
      <c r="Q35" s="262" t="s">
        <v>621</v>
      </c>
      <c r="R35" s="262" t="s">
        <v>621</v>
      </c>
      <c r="S35" s="262" t="s">
        <v>621</v>
      </c>
      <c r="T35" s="921" t="str">
        <f t="shared" si="1"/>
        <v>нд</v>
      </c>
      <c r="U35" s="262" t="s">
        <v>621</v>
      </c>
      <c r="V35" s="262" t="s">
        <v>621</v>
      </c>
      <c r="W35" s="262" t="s">
        <v>621</v>
      </c>
      <c r="X35" s="262" t="s">
        <v>621</v>
      </c>
      <c r="Y35" s="262" t="s">
        <v>621</v>
      </c>
      <c r="Z35" s="262" t="s">
        <v>621</v>
      </c>
      <c r="AA35" s="262" t="s">
        <v>621</v>
      </c>
      <c r="AB35" s="262" t="s">
        <v>621</v>
      </c>
      <c r="AC35" s="262" t="s">
        <v>621</v>
      </c>
      <c r="AD35" s="262" t="s">
        <v>621</v>
      </c>
      <c r="AE35" s="262" t="s">
        <v>621</v>
      </c>
      <c r="AF35" s="262" t="s">
        <v>621</v>
      </c>
      <c r="AG35" s="262" t="s">
        <v>621</v>
      </c>
      <c r="AH35" s="262" t="s">
        <v>621</v>
      </c>
      <c r="AI35" s="262" t="s">
        <v>621</v>
      </c>
      <c r="AJ35" s="262" t="s">
        <v>621</v>
      </c>
      <c r="AK35" s="262" t="s">
        <v>621</v>
      </c>
      <c r="AL35" s="262" t="s">
        <v>621</v>
      </c>
      <c r="AM35" s="262" t="s">
        <v>621</v>
      </c>
      <c r="AN35" s="262" t="s">
        <v>621</v>
      </c>
      <c r="AO35" s="262" t="s">
        <v>621</v>
      </c>
      <c r="AP35" s="262" t="s">
        <v>621</v>
      </c>
      <c r="AQ35" s="262" t="s">
        <v>621</v>
      </c>
      <c r="AR35" s="262" t="s">
        <v>621</v>
      </c>
      <c r="AS35" s="262" t="s">
        <v>621</v>
      </c>
    </row>
    <row r="36" spans="1:45" s="236" customFormat="1" ht="123" hidden="1" x14ac:dyDescent="0.45">
      <c r="A36" s="316" t="s">
        <v>573</v>
      </c>
      <c r="B36" s="426" t="s">
        <v>731</v>
      </c>
      <c r="C36" s="262" t="s">
        <v>621</v>
      </c>
      <c r="D36" s="262" t="s">
        <v>621</v>
      </c>
      <c r="E36" s="262" t="s">
        <v>621</v>
      </c>
      <c r="F36" s="262" t="s">
        <v>621</v>
      </c>
      <c r="G36" s="262" t="s">
        <v>621</v>
      </c>
      <c r="H36" s="262" t="s">
        <v>621</v>
      </c>
      <c r="I36" s="262" t="s">
        <v>621</v>
      </c>
      <c r="J36" s="262" t="s">
        <v>621</v>
      </c>
      <c r="K36" s="262" t="s">
        <v>621</v>
      </c>
      <c r="L36" s="262" t="s">
        <v>621</v>
      </c>
      <c r="M36" s="262" t="str">
        <f t="shared" si="2"/>
        <v>нд</v>
      </c>
      <c r="N36" s="262" t="s">
        <v>621</v>
      </c>
      <c r="O36" s="262" t="s">
        <v>621</v>
      </c>
      <c r="P36" s="262" t="s">
        <v>621</v>
      </c>
      <c r="Q36" s="262" t="s">
        <v>621</v>
      </c>
      <c r="R36" s="262" t="s">
        <v>621</v>
      </c>
      <c r="S36" s="262" t="s">
        <v>621</v>
      </c>
      <c r="T36" s="921" t="str">
        <f t="shared" si="1"/>
        <v>нд</v>
      </c>
      <c r="U36" s="262" t="s">
        <v>621</v>
      </c>
      <c r="V36" s="262" t="s">
        <v>621</v>
      </c>
      <c r="W36" s="262" t="s">
        <v>621</v>
      </c>
      <c r="X36" s="262" t="s">
        <v>621</v>
      </c>
      <c r="Y36" s="262" t="s">
        <v>621</v>
      </c>
      <c r="Z36" s="262" t="s">
        <v>621</v>
      </c>
      <c r="AA36" s="262" t="s">
        <v>621</v>
      </c>
      <c r="AB36" s="262" t="s">
        <v>621</v>
      </c>
      <c r="AC36" s="262" t="s">
        <v>621</v>
      </c>
      <c r="AD36" s="262" t="s">
        <v>621</v>
      </c>
      <c r="AE36" s="262" t="s">
        <v>621</v>
      </c>
      <c r="AF36" s="262" t="s">
        <v>621</v>
      </c>
      <c r="AG36" s="262" t="s">
        <v>621</v>
      </c>
      <c r="AH36" s="262" t="s">
        <v>621</v>
      </c>
      <c r="AI36" s="262" t="s">
        <v>621</v>
      </c>
      <c r="AJ36" s="262" t="s">
        <v>621</v>
      </c>
      <c r="AK36" s="262" t="s">
        <v>621</v>
      </c>
      <c r="AL36" s="262" t="s">
        <v>621</v>
      </c>
      <c r="AM36" s="262" t="s">
        <v>621</v>
      </c>
      <c r="AN36" s="262" t="s">
        <v>621</v>
      </c>
      <c r="AO36" s="262" t="s">
        <v>621</v>
      </c>
      <c r="AP36" s="262" t="s">
        <v>621</v>
      </c>
      <c r="AQ36" s="262" t="s">
        <v>621</v>
      </c>
      <c r="AR36" s="262" t="s">
        <v>621</v>
      </c>
      <c r="AS36" s="262" t="s">
        <v>621</v>
      </c>
    </row>
    <row r="37" spans="1:45" s="236" customFormat="1" ht="123" hidden="1" x14ac:dyDescent="0.45">
      <c r="A37" s="316" t="s">
        <v>542</v>
      </c>
      <c r="B37" s="426" t="s">
        <v>732</v>
      </c>
      <c r="C37" s="262" t="s">
        <v>621</v>
      </c>
      <c r="D37" s="262" t="s">
        <v>621</v>
      </c>
      <c r="E37" s="262" t="s">
        <v>621</v>
      </c>
      <c r="F37" s="262" t="s">
        <v>621</v>
      </c>
      <c r="G37" s="262" t="s">
        <v>621</v>
      </c>
      <c r="H37" s="262" t="s">
        <v>621</v>
      </c>
      <c r="I37" s="262" t="s">
        <v>621</v>
      </c>
      <c r="J37" s="262" t="s">
        <v>621</v>
      </c>
      <c r="K37" s="262" t="s">
        <v>621</v>
      </c>
      <c r="L37" s="262" t="s">
        <v>621</v>
      </c>
      <c r="M37" s="262" t="str">
        <f t="shared" si="2"/>
        <v>нд</v>
      </c>
      <c r="N37" s="262" t="s">
        <v>621</v>
      </c>
      <c r="O37" s="262" t="s">
        <v>621</v>
      </c>
      <c r="P37" s="262" t="s">
        <v>621</v>
      </c>
      <c r="Q37" s="262" t="s">
        <v>621</v>
      </c>
      <c r="R37" s="262" t="s">
        <v>621</v>
      </c>
      <c r="S37" s="262" t="s">
        <v>621</v>
      </c>
      <c r="T37" s="921" t="str">
        <f t="shared" si="1"/>
        <v>нд</v>
      </c>
      <c r="U37" s="262" t="s">
        <v>621</v>
      </c>
      <c r="V37" s="262" t="s">
        <v>621</v>
      </c>
      <c r="W37" s="262" t="s">
        <v>621</v>
      </c>
      <c r="X37" s="262" t="s">
        <v>621</v>
      </c>
      <c r="Y37" s="262" t="s">
        <v>621</v>
      </c>
      <c r="Z37" s="262" t="s">
        <v>621</v>
      </c>
      <c r="AA37" s="262" t="s">
        <v>621</v>
      </c>
      <c r="AB37" s="262" t="s">
        <v>621</v>
      </c>
      <c r="AC37" s="262" t="s">
        <v>621</v>
      </c>
      <c r="AD37" s="262" t="s">
        <v>621</v>
      </c>
      <c r="AE37" s="262" t="s">
        <v>621</v>
      </c>
      <c r="AF37" s="262" t="s">
        <v>621</v>
      </c>
      <c r="AG37" s="262" t="s">
        <v>621</v>
      </c>
      <c r="AH37" s="262" t="s">
        <v>621</v>
      </c>
      <c r="AI37" s="262" t="s">
        <v>621</v>
      </c>
      <c r="AJ37" s="262" t="s">
        <v>621</v>
      </c>
      <c r="AK37" s="262" t="s">
        <v>621</v>
      </c>
      <c r="AL37" s="262" t="s">
        <v>621</v>
      </c>
      <c r="AM37" s="262" t="s">
        <v>621</v>
      </c>
      <c r="AN37" s="262" t="s">
        <v>621</v>
      </c>
      <c r="AO37" s="262" t="s">
        <v>621</v>
      </c>
      <c r="AP37" s="262" t="s">
        <v>621</v>
      </c>
      <c r="AQ37" s="262" t="s">
        <v>621</v>
      </c>
      <c r="AR37" s="262" t="s">
        <v>621</v>
      </c>
      <c r="AS37" s="262" t="s">
        <v>621</v>
      </c>
    </row>
    <row r="38" spans="1:45" s="236" customFormat="1" ht="92.25" hidden="1" x14ac:dyDescent="0.45">
      <c r="A38" s="316"/>
      <c r="B38" s="426" t="s">
        <v>733</v>
      </c>
      <c r="C38" s="262" t="s">
        <v>621</v>
      </c>
      <c r="D38" s="262" t="s">
        <v>621</v>
      </c>
      <c r="E38" s="262" t="s">
        <v>621</v>
      </c>
      <c r="F38" s="262" t="s">
        <v>621</v>
      </c>
      <c r="G38" s="262" t="s">
        <v>621</v>
      </c>
      <c r="H38" s="262" t="s">
        <v>621</v>
      </c>
      <c r="I38" s="262" t="s">
        <v>621</v>
      </c>
      <c r="J38" s="262" t="s">
        <v>621</v>
      </c>
      <c r="K38" s="262" t="s">
        <v>621</v>
      </c>
      <c r="L38" s="262" t="s">
        <v>621</v>
      </c>
      <c r="M38" s="262" t="str">
        <f t="shared" si="2"/>
        <v>нд</v>
      </c>
      <c r="N38" s="262" t="s">
        <v>621</v>
      </c>
      <c r="O38" s="262" t="s">
        <v>621</v>
      </c>
      <c r="P38" s="262" t="s">
        <v>621</v>
      </c>
      <c r="Q38" s="262" t="s">
        <v>621</v>
      </c>
      <c r="R38" s="262" t="s">
        <v>621</v>
      </c>
      <c r="S38" s="262" t="s">
        <v>621</v>
      </c>
      <c r="T38" s="921" t="str">
        <f t="shared" si="1"/>
        <v>нд</v>
      </c>
      <c r="U38" s="262" t="s">
        <v>621</v>
      </c>
      <c r="V38" s="262" t="s">
        <v>621</v>
      </c>
      <c r="W38" s="262" t="s">
        <v>621</v>
      </c>
      <c r="X38" s="262" t="s">
        <v>621</v>
      </c>
      <c r="Y38" s="262" t="s">
        <v>621</v>
      </c>
      <c r="Z38" s="262" t="s">
        <v>621</v>
      </c>
      <c r="AA38" s="262" t="s">
        <v>621</v>
      </c>
      <c r="AB38" s="262" t="s">
        <v>621</v>
      </c>
      <c r="AC38" s="262" t="s">
        <v>621</v>
      </c>
      <c r="AD38" s="262" t="s">
        <v>621</v>
      </c>
      <c r="AE38" s="262" t="s">
        <v>621</v>
      </c>
      <c r="AF38" s="262" t="s">
        <v>621</v>
      </c>
      <c r="AG38" s="262" t="s">
        <v>621</v>
      </c>
      <c r="AH38" s="262" t="s">
        <v>621</v>
      </c>
      <c r="AI38" s="262" t="s">
        <v>621</v>
      </c>
      <c r="AJ38" s="262" t="s">
        <v>621</v>
      </c>
      <c r="AK38" s="262" t="s">
        <v>621</v>
      </c>
      <c r="AL38" s="262" t="s">
        <v>621</v>
      </c>
      <c r="AM38" s="262" t="s">
        <v>621</v>
      </c>
      <c r="AN38" s="262" t="s">
        <v>621</v>
      </c>
      <c r="AO38" s="262" t="s">
        <v>621</v>
      </c>
      <c r="AP38" s="262" t="s">
        <v>621</v>
      </c>
      <c r="AQ38" s="262" t="s">
        <v>621</v>
      </c>
      <c r="AR38" s="262" t="s">
        <v>621</v>
      </c>
      <c r="AS38" s="262" t="s">
        <v>621</v>
      </c>
    </row>
    <row r="39" spans="1:45" s="236" customFormat="1" ht="276.75" hidden="1" x14ac:dyDescent="0.45">
      <c r="A39" s="316" t="s">
        <v>576</v>
      </c>
      <c r="B39" s="426" t="s">
        <v>734</v>
      </c>
      <c r="C39" s="262" t="s">
        <v>621</v>
      </c>
      <c r="D39" s="262" t="s">
        <v>621</v>
      </c>
      <c r="E39" s="262" t="s">
        <v>621</v>
      </c>
      <c r="F39" s="262" t="s">
        <v>621</v>
      </c>
      <c r="G39" s="262" t="s">
        <v>621</v>
      </c>
      <c r="H39" s="262" t="s">
        <v>621</v>
      </c>
      <c r="I39" s="262" t="s">
        <v>621</v>
      </c>
      <c r="J39" s="262" t="s">
        <v>621</v>
      </c>
      <c r="K39" s="262" t="s">
        <v>621</v>
      </c>
      <c r="L39" s="262" t="s">
        <v>621</v>
      </c>
      <c r="M39" s="262" t="str">
        <f t="shared" si="2"/>
        <v>нд</v>
      </c>
      <c r="N39" s="262" t="s">
        <v>621</v>
      </c>
      <c r="O39" s="262" t="s">
        <v>621</v>
      </c>
      <c r="P39" s="262" t="s">
        <v>621</v>
      </c>
      <c r="Q39" s="262" t="s">
        <v>621</v>
      </c>
      <c r="R39" s="262" t="s">
        <v>621</v>
      </c>
      <c r="S39" s="262" t="s">
        <v>621</v>
      </c>
      <c r="T39" s="921" t="str">
        <f t="shared" si="1"/>
        <v>нд</v>
      </c>
      <c r="U39" s="262" t="s">
        <v>621</v>
      </c>
      <c r="V39" s="262" t="s">
        <v>621</v>
      </c>
      <c r="W39" s="262" t="s">
        <v>621</v>
      </c>
      <c r="X39" s="262" t="s">
        <v>621</v>
      </c>
      <c r="Y39" s="262" t="s">
        <v>621</v>
      </c>
      <c r="Z39" s="262" t="s">
        <v>621</v>
      </c>
      <c r="AA39" s="262" t="s">
        <v>621</v>
      </c>
      <c r="AB39" s="262" t="s">
        <v>621</v>
      </c>
      <c r="AC39" s="262" t="s">
        <v>621</v>
      </c>
      <c r="AD39" s="262" t="s">
        <v>621</v>
      </c>
      <c r="AE39" s="262" t="s">
        <v>621</v>
      </c>
      <c r="AF39" s="262" t="s">
        <v>621</v>
      </c>
      <c r="AG39" s="262" t="s">
        <v>621</v>
      </c>
      <c r="AH39" s="262" t="s">
        <v>621</v>
      </c>
      <c r="AI39" s="262" t="s">
        <v>621</v>
      </c>
      <c r="AJ39" s="262" t="s">
        <v>621</v>
      </c>
      <c r="AK39" s="262" t="s">
        <v>621</v>
      </c>
      <c r="AL39" s="262" t="s">
        <v>621</v>
      </c>
      <c r="AM39" s="262" t="s">
        <v>621</v>
      </c>
      <c r="AN39" s="262" t="s">
        <v>621</v>
      </c>
      <c r="AO39" s="262" t="s">
        <v>621</v>
      </c>
      <c r="AP39" s="262" t="s">
        <v>621</v>
      </c>
      <c r="AQ39" s="262" t="s">
        <v>621</v>
      </c>
      <c r="AR39" s="262" t="s">
        <v>621</v>
      </c>
      <c r="AS39" s="262" t="s">
        <v>621</v>
      </c>
    </row>
    <row r="40" spans="1:45" s="236" customFormat="1" ht="246" hidden="1" x14ac:dyDescent="0.45">
      <c r="A40" s="316" t="s">
        <v>577</v>
      </c>
      <c r="B40" s="426" t="s">
        <v>735</v>
      </c>
      <c r="C40" s="262" t="s">
        <v>621</v>
      </c>
      <c r="D40" s="262" t="s">
        <v>621</v>
      </c>
      <c r="E40" s="262" t="s">
        <v>621</v>
      </c>
      <c r="F40" s="262" t="s">
        <v>621</v>
      </c>
      <c r="G40" s="262" t="s">
        <v>621</v>
      </c>
      <c r="H40" s="262" t="s">
        <v>621</v>
      </c>
      <c r="I40" s="262" t="s">
        <v>621</v>
      </c>
      <c r="J40" s="262" t="s">
        <v>621</v>
      </c>
      <c r="K40" s="262" t="s">
        <v>621</v>
      </c>
      <c r="L40" s="262" t="s">
        <v>621</v>
      </c>
      <c r="M40" s="262" t="str">
        <f t="shared" si="2"/>
        <v>нд</v>
      </c>
      <c r="N40" s="262" t="s">
        <v>621</v>
      </c>
      <c r="O40" s="262" t="s">
        <v>621</v>
      </c>
      <c r="P40" s="262" t="s">
        <v>621</v>
      </c>
      <c r="Q40" s="262" t="s">
        <v>621</v>
      </c>
      <c r="R40" s="262" t="s">
        <v>621</v>
      </c>
      <c r="S40" s="262" t="s">
        <v>621</v>
      </c>
      <c r="T40" s="921" t="str">
        <f t="shared" si="1"/>
        <v>нд</v>
      </c>
      <c r="U40" s="262" t="s">
        <v>621</v>
      </c>
      <c r="V40" s="262" t="s">
        <v>621</v>
      </c>
      <c r="W40" s="262" t="s">
        <v>621</v>
      </c>
      <c r="X40" s="262" t="s">
        <v>621</v>
      </c>
      <c r="Y40" s="262" t="s">
        <v>621</v>
      </c>
      <c r="Z40" s="262" t="s">
        <v>621</v>
      </c>
      <c r="AA40" s="262" t="s">
        <v>621</v>
      </c>
      <c r="AB40" s="262" t="s">
        <v>621</v>
      </c>
      <c r="AC40" s="262" t="s">
        <v>621</v>
      </c>
      <c r="AD40" s="262" t="s">
        <v>621</v>
      </c>
      <c r="AE40" s="262" t="s">
        <v>621</v>
      </c>
      <c r="AF40" s="262" t="s">
        <v>621</v>
      </c>
      <c r="AG40" s="262" t="s">
        <v>621</v>
      </c>
      <c r="AH40" s="262" t="s">
        <v>621</v>
      </c>
      <c r="AI40" s="262" t="s">
        <v>621</v>
      </c>
      <c r="AJ40" s="262" t="s">
        <v>621</v>
      </c>
      <c r="AK40" s="262" t="s">
        <v>621</v>
      </c>
      <c r="AL40" s="262" t="s">
        <v>621</v>
      </c>
      <c r="AM40" s="262" t="s">
        <v>621</v>
      </c>
      <c r="AN40" s="262" t="s">
        <v>621</v>
      </c>
      <c r="AO40" s="262" t="s">
        <v>621</v>
      </c>
      <c r="AP40" s="262" t="s">
        <v>621</v>
      </c>
      <c r="AQ40" s="262" t="s">
        <v>621</v>
      </c>
      <c r="AR40" s="262" t="s">
        <v>621</v>
      </c>
      <c r="AS40" s="262" t="s">
        <v>621</v>
      </c>
    </row>
    <row r="41" spans="1:45" s="236" customFormat="1" ht="246" hidden="1" x14ac:dyDescent="0.45">
      <c r="A41" s="316" t="s">
        <v>578</v>
      </c>
      <c r="B41" s="426" t="s">
        <v>736</v>
      </c>
      <c r="C41" s="262" t="s">
        <v>621</v>
      </c>
      <c r="D41" s="262" t="s">
        <v>621</v>
      </c>
      <c r="E41" s="262" t="s">
        <v>621</v>
      </c>
      <c r="F41" s="262" t="s">
        <v>621</v>
      </c>
      <c r="G41" s="262" t="s">
        <v>621</v>
      </c>
      <c r="H41" s="262" t="s">
        <v>621</v>
      </c>
      <c r="I41" s="262" t="s">
        <v>621</v>
      </c>
      <c r="J41" s="262" t="s">
        <v>621</v>
      </c>
      <c r="K41" s="262" t="s">
        <v>621</v>
      </c>
      <c r="L41" s="262" t="s">
        <v>621</v>
      </c>
      <c r="M41" s="262" t="str">
        <f t="shared" si="2"/>
        <v>нд</v>
      </c>
      <c r="N41" s="262" t="s">
        <v>621</v>
      </c>
      <c r="O41" s="262" t="s">
        <v>621</v>
      </c>
      <c r="P41" s="262" t="s">
        <v>621</v>
      </c>
      <c r="Q41" s="262" t="s">
        <v>621</v>
      </c>
      <c r="R41" s="262" t="s">
        <v>621</v>
      </c>
      <c r="S41" s="262" t="s">
        <v>621</v>
      </c>
      <c r="T41" s="921" t="str">
        <f t="shared" si="1"/>
        <v>нд</v>
      </c>
      <c r="U41" s="262" t="s">
        <v>621</v>
      </c>
      <c r="V41" s="262" t="s">
        <v>621</v>
      </c>
      <c r="W41" s="262" t="s">
        <v>621</v>
      </c>
      <c r="X41" s="262" t="s">
        <v>621</v>
      </c>
      <c r="Y41" s="262" t="s">
        <v>621</v>
      </c>
      <c r="Z41" s="262" t="s">
        <v>621</v>
      </c>
      <c r="AA41" s="262" t="s">
        <v>621</v>
      </c>
      <c r="AB41" s="262" t="s">
        <v>621</v>
      </c>
      <c r="AC41" s="262" t="s">
        <v>621</v>
      </c>
      <c r="AD41" s="262" t="s">
        <v>621</v>
      </c>
      <c r="AE41" s="262" t="s">
        <v>621</v>
      </c>
      <c r="AF41" s="262" t="s">
        <v>621</v>
      </c>
      <c r="AG41" s="262" t="s">
        <v>621</v>
      </c>
      <c r="AH41" s="262" t="s">
        <v>621</v>
      </c>
      <c r="AI41" s="262" t="s">
        <v>621</v>
      </c>
      <c r="AJ41" s="262" t="s">
        <v>621</v>
      </c>
      <c r="AK41" s="262" t="s">
        <v>621</v>
      </c>
      <c r="AL41" s="262" t="s">
        <v>621</v>
      </c>
      <c r="AM41" s="262" t="s">
        <v>621</v>
      </c>
      <c r="AN41" s="262" t="s">
        <v>621</v>
      </c>
      <c r="AO41" s="262" t="s">
        <v>621</v>
      </c>
      <c r="AP41" s="262" t="s">
        <v>621</v>
      </c>
      <c r="AQ41" s="262" t="s">
        <v>621</v>
      </c>
      <c r="AR41" s="262" t="s">
        <v>621</v>
      </c>
      <c r="AS41" s="262" t="s">
        <v>621</v>
      </c>
    </row>
    <row r="42" spans="1:45" s="236" customFormat="1" ht="215.25" hidden="1" x14ac:dyDescent="0.45">
      <c r="A42" s="316" t="s">
        <v>543</v>
      </c>
      <c r="B42" s="426" t="s">
        <v>693</v>
      </c>
      <c r="C42" s="262" t="s">
        <v>621</v>
      </c>
      <c r="D42" s="262" t="s">
        <v>621</v>
      </c>
      <c r="E42" s="262" t="s">
        <v>621</v>
      </c>
      <c r="F42" s="262" t="s">
        <v>621</v>
      </c>
      <c r="G42" s="262" t="s">
        <v>621</v>
      </c>
      <c r="H42" s="262" t="s">
        <v>621</v>
      </c>
      <c r="I42" s="262" t="s">
        <v>621</v>
      </c>
      <c r="J42" s="262" t="s">
        <v>621</v>
      </c>
      <c r="K42" s="262" t="s">
        <v>621</v>
      </c>
      <c r="L42" s="262" t="s">
        <v>621</v>
      </c>
      <c r="M42" s="262" t="str">
        <f t="shared" si="2"/>
        <v>нд</v>
      </c>
      <c r="N42" s="262" t="s">
        <v>621</v>
      </c>
      <c r="O42" s="262" t="s">
        <v>621</v>
      </c>
      <c r="P42" s="262" t="s">
        <v>621</v>
      </c>
      <c r="Q42" s="262" t="s">
        <v>621</v>
      </c>
      <c r="R42" s="262" t="s">
        <v>621</v>
      </c>
      <c r="S42" s="262" t="s">
        <v>621</v>
      </c>
      <c r="T42" s="921" t="str">
        <f t="shared" si="1"/>
        <v>нд</v>
      </c>
      <c r="U42" s="262" t="s">
        <v>621</v>
      </c>
      <c r="V42" s="262" t="s">
        <v>621</v>
      </c>
      <c r="W42" s="262" t="s">
        <v>621</v>
      </c>
      <c r="X42" s="262" t="s">
        <v>621</v>
      </c>
      <c r="Y42" s="262" t="s">
        <v>621</v>
      </c>
      <c r="Z42" s="262" t="s">
        <v>621</v>
      </c>
      <c r="AA42" s="262" t="s">
        <v>621</v>
      </c>
      <c r="AB42" s="262" t="s">
        <v>621</v>
      </c>
      <c r="AC42" s="262" t="s">
        <v>621</v>
      </c>
      <c r="AD42" s="262" t="s">
        <v>621</v>
      </c>
      <c r="AE42" s="262" t="s">
        <v>621</v>
      </c>
      <c r="AF42" s="262" t="s">
        <v>621</v>
      </c>
      <c r="AG42" s="262" t="s">
        <v>621</v>
      </c>
      <c r="AH42" s="262" t="s">
        <v>621</v>
      </c>
      <c r="AI42" s="262" t="s">
        <v>621</v>
      </c>
      <c r="AJ42" s="262" t="s">
        <v>621</v>
      </c>
      <c r="AK42" s="262" t="s">
        <v>621</v>
      </c>
      <c r="AL42" s="262" t="s">
        <v>621</v>
      </c>
      <c r="AM42" s="262" t="s">
        <v>621</v>
      </c>
      <c r="AN42" s="262" t="s">
        <v>621</v>
      </c>
      <c r="AO42" s="262" t="s">
        <v>621</v>
      </c>
      <c r="AP42" s="262" t="s">
        <v>621</v>
      </c>
      <c r="AQ42" s="262" t="s">
        <v>621</v>
      </c>
      <c r="AR42" s="262" t="s">
        <v>621</v>
      </c>
      <c r="AS42" s="262" t="s">
        <v>621</v>
      </c>
    </row>
    <row r="43" spans="1:45" s="236" customFormat="1" ht="184.5" hidden="1" x14ac:dyDescent="0.45">
      <c r="A43" s="316" t="s">
        <v>580</v>
      </c>
      <c r="B43" s="426" t="s">
        <v>694</v>
      </c>
      <c r="C43" s="262" t="s">
        <v>621</v>
      </c>
      <c r="D43" s="262" t="s">
        <v>621</v>
      </c>
      <c r="E43" s="262" t="s">
        <v>621</v>
      </c>
      <c r="F43" s="262" t="s">
        <v>621</v>
      </c>
      <c r="G43" s="262" t="s">
        <v>621</v>
      </c>
      <c r="H43" s="262" t="s">
        <v>621</v>
      </c>
      <c r="I43" s="262" t="s">
        <v>621</v>
      </c>
      <c r="J43" s="262" t="s">
        <v>621</v>
      </c>
      <c r="K43" s="262" t="s">
        <v>621</v>
      </c>
      <c r="L43" s="262" t="s">
        <v>621</v>
      </c>
      <c r="M43" s="262" t="str">
        <f t="shared" si="2"/>
        <v>нд</v>
      </c>
      <c r="N43" s="262" t="s">
        <v>621</v>
      </c>
      <c r="O43" s="262" t="s">
        <v>621</v>
      </c>
      <c r="P43" s="262" t="s">
        <v>621</v>
      </c>
      <c r="Q43" s="262" t="s">
        <v>621</v>
      </c>
      <c r="R43" s="262" t="s">
        <v>621</v>
      </c>
      <c r="S43" s="262" t="s">
        <v>621</v>
      </c>
      <c r="T43" s="921" t="str">
        <f t="shared" si="1"/>
        <v>нд</v>
      </c>
      <c r="U43" s="262" t="s">
        <v>621</v>
      </c>
      <c r="V43" s="262" t="s">
        <v>621</v>
      </c>
      <c r="W43" s="262" t="s">
        <v>621</v>
      </c>
      <c r="X43" s="262" t="s">
        <v>621</v>
      </c>
      <c r="Y43" s="262" t="s">
        <v>621</v>
      </c>
      <c r="Z43" s="262" t="s">
        <v>621</v>
      </c>
      <c r="AA43" s="262" t="s">
        <v>621</v>
      </c>
      <c r="AB43" s="262" t="s">
        <v>621</v>
      </c>
      <c r="AC43" s="262" t="s">
        <v>621</v>
      </c>
      <c r="AD43" s="262" t="s">
        <v>621</v>
      </c>
      <c r="AE43" s="262" t="s">
        <v>621</v>
      </c>
      <c r="AF43" s="262" t="s">
        <v>621</v>
      </c>
      <c r="AG43" s="262" t="s">
        <v>621</v>
      </c>
      <c r="AH43" s="262" t="s">
        <v>621</v>
      </c>
      <c r="AI43" s="262" t="s">
        <v>621</v>
      </c>
      <c r="AJ43" s="262" t="s">
        <v>621</v>
      </c>
      <c r="AK43" s="262" t="s">
        <v>621</v>
      </c>
      <c r="AL43" s="262" t="s">
        <v>621</v>
      </c>
      <c r="AM43" s="262" t="s">
        <v>621</v>
      </c>
      <c r="AN43" s="262" t="s">
        <v>621</v>
      </c>
      <c r="AO43" s="262" t="s">
        <v>621</v>
      </c>
      <c r="AP43" s="262" t="s">
        <v>621</v>
      </c>
      <c r="AQ43" s="262" t="s">
        <v>621</v>
      </c>
      <c r="AR43" s="262" t="s">
        <v>621</v>
      </c>
      <c r="AS43" s="262" t="s">
        <v>621</v>
      </c>
    </row>
    <row r="44" spans="1:45" s="236" customFormat="1" ht="85.5" hidden="1" customHeight="1" x14ac:dyDescent="0.45">
      <c r="A44" s="316" t="s">
        <v>581</v>
      </c>
      <c r="B44" s="427" t="s">
        <v>744</v>
      </c>
      <c r="C44" s="262" t="s">
        <v>621</v>
      </c>
      <c r="D44" s="262" t="s">
        <v>621</v>
      </c>
      <c r="E44" s="262" t="s">
        <v>621</v>
      </c>
      <c r="F44" s="262" t="s">
        <v>621</v>
      </c>
      <c r="G44" s="262" t="s">
        <v>621</v>
      </c>
      <c r="H44" s="262" t="s">
        <v>621</v>
      </c>
      <c r="I44" s="262" t="s">
        <v>621</v>
      </c>
      <c r="J44" s="262" t="s">
        <v>621</v>
      </c>
      <c r="K44" s="262" t="s">
        <v>621</v>
      </c>
      <c r="L44" s="262" t="s">
        <v>621</v>
      </c>
      <c r="M44" s="262" t="str">
        <f t="shared" si="2"/>
        <v>нд</v>
      </c>
      <c r="N44" s="262" t="s">
        <v>621</v>
      </c>
      <c r="O44" s="262" t="s">
        <v>621</v>
      </c>
      <c r="P44" s="262" t="s">
        <v>621</v>
      </c>
      <c r="Q44" s="262" t="s">
        <v>621</v>
      </c>
      <c r="R44" s="262" t="s">
        <v>621</v>
      </c>
      <c r="S44" s="262" t="s">
        <v>621</v>
      </c>
      <c r="T44" s="921" t="str">
        <f t="shared" si="1"/>
        <v>нд</v>
      </c>
      <c r="U44" s="262" t="s">
        <v>621</v>
      </c>
      <c r="V44" s="262" t="s">
        <v>621</v>
      </c>
      <c r="W44" s="262" t="s">
        <v>621</v>
      </c>
      <c r="X44" s="262" t="s">
        <v>621</v>
      </c>
      <c r="Y44" s="262" t="s">
        <v>621</v>
      </c>
      <c r="Z44" s="262" t="s">
        <v>621</v>
      </c>
      <c r="AA44" s="262" t="s">
        <v>621</v>
      </c>
      <c r="AB44" s="262" t="s">
        <v>621</v>
      </c>
      <c r="AC44" s="262" t="s">
        <v>621</v>
      </c>
      <c r="AD44" s="262" t="s">
        <v>621</v>
      </c>
      <c r="AE44" s="262" t="s">
        <v>621</v>
      </c>
      <c r="AF44" s="262" t="s">
        <v>621</v>
      </c>
      <c r="AG44" s="262" t="s">
        <v>621</v>
      </c>
      <c r="AH44" s="262" t="s">
        <v>621</v>
      </c>
      <c r="AI44" s="262" t="s">
        <v>621</v>
      </c>
      <c r="AJ44" s="262" t="s">
        <v>621</v>
      </c>
      <c r="AK44" s="262" t="s">
        <v>621</v>
      </c>
      <c r="AL44" s="262" t="s">
        <v>621</v>
      </c>
      <c r="AM44" s="262" t="s">
        <v>621</v>
      </c>
      <c r="AN44" s="262" t="s">
        <v>621</v>
      </c>
      <c r="AO44" s="262" t="s">
        <v>621</v>
      </c>
      <c r="AP44" s="262" t="s">
        <v>621</v>
      </c>
      <c r="AQ44" s="262" t="s">
        <v>621</v>
      </c>
      <c r="AR44" s="262" t="s">
        <v>621</v>
      </c>
      <c r="AS44" s="262" t="s">
        <v>621</v>
      </c>
    </row>
    <row r="45" spans="1:45" s="438" customFormat="1" ht="88.5" customHeight="1" x14ac:dyDescent="0.25">
      <c r="A45" s="428" t="s">
        <v>539</v>
      </c>
      <c r="B45" s="429" t="s">
        <v>695</v>
      </c>
      <c r="C45" s="264" t="s">
        <v>621</v>
      </c>
      <c r="D45" s="264" t="s">
        <v>621</v>
      </c>
      <c r="E45" s="264" t="s">
        <v>621</v>
      </c>
      <c r="F45" s="264" t="s">
        <v>621</v>
      </c>
      <c r="G45" s="264" t="s">
        <v>621</v>
      </c>
      <c r="H45" s="264" t="s">
        <v>621</v>
      </c>
      <c r="I45" s="264" t="s">
        <v>621</v>
      </c>
      <c r="J45" s="264">
        <v>0.8</v>
      </c>
      <c r="K45" s="264">
        <f>K77</f>
        <v>0</v>
      </c>
      <c r="L45" s="264">
        <f>L77</f>
        <v>15</v>
      </c>
      <c r="M45" s="264">
        <f>M77</f>
        <v>18</v>
      </c>
      <c r="N45" s="263">
        <f>N49</f>
        <v>6.32</v>
      </c>
      <c r="O45" s="263">
        <f>O49</f>
        <v>19.242999999999999</v>
      </c>
      <c r="P45" s="264" t="s">
        <v>621</v>
      </c>
      <c r="Q45" s="264" t="s">
        <v>621</v>
      </c>
      <c r="R45" s="264" t="s">
        <v>621</v>
      </c>
      <c r="S45" s="264" t="s">
        <v>621</v>
      </c>
      <c r="T45" s="264">
        <f t="shared" si="1"/>
        <v>2762</v>
      </c>
      <c r="U45" s="264">
        <f>U67</f>
        <v>2762</v>
      </c>
      <c r="V45" s="264" t="s">
        <v>621</v>
      </c>
      <c r="W45" s="264" t="s">
        <v>621</v>
      </c>
      <c r="X45" s="264" t="s">
        <v>621</v>
      </c>
      <c r="Y45" s="264" t="s">
        <v>621</v>
      </c>
      <c r="Z45" s="264" t="s">
        <v>621</v>
      </c>
      <c r="AA45" s="264" t="s">
        <v>621</v>
      </c>
      <c r="AB45" s="264" t="s">
        <v>621</v>
      </c>
      <c r="AC45" s="264" t="s">
        <v>621</v>
      </c>
      <c r="AD45" s="264" t="s">
        <v>621</v>
      </c>
      <c r="AE45" s="264" t="s">
        <v>621</v>
      </c>
      <c r="AF45" s="264" t="s">
        <v>621</v>
      </c>
      <c r="AG45" s="264" t="s">
        <v>621</v>
      </c>
      <c r="AH45" s="264" t="s">
        <v>621</v>
      </c>
      <c r="AI45" s="264" t="s">
        <v>621</v>
      </c>
      <c r="AJ45" s="264" t="s">
        <v>621</v>
      </c>
      <c r="AK45" s="264" t="s">
        <v>621</v>
      </c>
      <c r="AL45" s="264" t="s">
        <v>621</v>
      </c>
      <c r="AM45" s="264" t="s">
        <v>621</v>
      </c>
      <c r="AN45" s="264" t="s">
        <v>621</v>
      </c>
      <c r="AO45" s="264" t="s">
        <v>621</v>
      </c>
      <c r="AP45" s="264" t="s">
        <v>621</v>
      </c>
      <c r="AQ45" s="264" t="s">
        <v>621</v>
      </c>
      <c r="AR45" s="264" t="s">
        <v>621</v>
      </c>
      <c r="AS45" s="264" t="s">
        <v>621</v>
      </c>
    </row>
    <row r="46" spans="1:45" s="439" customFormat="1" ht="63.75" hidden="1" customHeight="1" x14ac:dyDescent="0.45">
      <c r="A46" s="270" t="s">
        <v>544</v>
      </c>
      <c r="B46" s="430" t="s">
        <v>696</v>
      </c>
      <c r="C46" s="431" t="s">
        <v>621</v>
      </c>
      <c r="D46" s="431" t="s">
        <v>621</v>
      </c>
      <c r="E46" s="431" t="s">
        <v>621</v>
      </c>
      <c r="F46" s="431" t="s">
        <v>621</v>
      </c>
      <c r="G46" s="431" t="s">
        <v>621</v>
      </c>
      <c r="H46" s="431" t="s">
        <v>621</v>
      </c>
      <c r="I46" s="431" t="s">
        <v>621</v>
      </c>
      <c r="J46" s="431" t="s">
        <v>621</v>
      </c>
      <c r="K46" s="431" t="s">
        <v>621</v>
      </c>
      <c r="L46" s="431" t="s">
        <v>621</v>
      </c>
      <c r="M46" s="431" t="str">
        <f t="shared" si="2"/>
        <v>нд</v>
      </c>
      <c r="N46" s="431">
        <v>1.0109999999999999</v>
      </c>
      <c r="O46" s="431" t="s">
        <v>621</v>
      </c>
      <c r="P46" s="431" t="s">
        <v>621</v>
      </c>
      <c r="Q46" s="431" t="s">
        <v>621</v>
      </c>
      <c r="R46" s="431" t="s">
        <v>621</v>
      </c>
      <c r="S46" s="431" t="s">
        <v>621</v>
      </c>
      <c r="T46" s="921" t="str">
        <f t="shared" si="1"/>
        <v>нд</v>
      </c>
      <c r="U46" s="431" t="s">
        <v>621</v>
      </c>
      <c r="V46" s="431" t="s">
        <v>621</v>
      </c>
      <c r="W46" s="431" t="s">
        <v>621</v>
      </c>
      <c r="X46" s="431" t="s">
        <v>621</v>
      </c>
      <c r="Y46" s="431" t="s">
        <v>621</v>
      </c>
      <c r="Z46" s="431" t="s">
        <v>621</v>
      </c>
      <c r="AA46" s="431" t="s">
        <v>621</v>
      </c>
      <c r="AB46" s="431" t="s">
        <v>621</v>
      </c>
      <c r="AC46" s="431" t="s">
        <v>621</v>
      </c>
      <c r="AD46" s="431" t="s">
        <v>621</v>
      </c>
      <c r="AE46" s="431" t="s">
        <v>621</v>
      </c>
      <c r="AF46" s="431" t="s">
        <v>621</v>
      </c>
      <c r="AG46" s="431" t="s">
        <v>621</v>
      </c>
      <c r="AH46" s="431" t="s">
        <v>621</v>
      </c>
      <c r="AI46" s="431" t="s">
        <v>621</v>
      </c>
      <c r="AJ46" s="431" t="s">
        <v>621</v>
      </c>
      <c r="AK46" s="431" t="s">
        <v>621</v>
      </c>
      <c r="AL46" s="431" t="s">
        <v>621</v>
      </c>
      <c r="AM46" s="431" t="s">
        <v>621</v>
      </c>
      <c r="AN46" s="431" t="s">
        <v>621</v>
      </c>
      <c r="AO46" s="431" t="s">
        <v>621</v>
      </c>
      <c r="AP46" s="431" t="s">
        <v>621</v>
      </c>
      <c r="AQ46" s="431" t="s">
        <v>621</v>
      </c>
      <c r="AR46" s="431" t="s">
        <v>621</v>
      </c>
      <c r="AS46" s="431" t="s">
        <v>621</v>
      </c>
    </row>
    <row r="47" spans="1:45" s="439" customFormat="1" ht="123" hidden="1" x14ac:dyDescent="0.45">
      <c r="A47" s="270" t="s">
        <v>591</v>
      </c>
      <c r="B47" s="430" t="s">
        <v>745</v>
      </c>
      <c r="C47" s="431" t="s">
        <v>621</v>
      </c>
      <c r="D47" s="431" t="s">
        <v>621</v>
      </c>
      <c r="E47" s="431" t="s">
        <v>621</v>
      </c>
      <c r="F47" s="431" t="s">
        <v>621</v>
      </c>
      <c r="G47" s="431" t="s">
        <v>621</v>
      </c>
      <c r="H47" s="431" t="s">
        <v>621</v>
      </c>
      <c r="I47" s="431" t="s">
        <v>621</v>
      </c>
      <c r="J47" s="431" t="s">
        <v>621</v>
      </c>
      <c r="K47" s="431" t="s">
        <v>621</v>
      </c>
      <c r="L47" s="431" t="s">
        <v>621</v>
      </c>
      <c r="M47" s="431" t="str">
        <f t="shared" si="2"/>
        <v>нд</v>
      </c>
      <c r="N47" s="431">
        <v>1.0109999999999999</v>
      </c>
      <c r="O47" s="431" t="s">
        <v>621</v>
      </c>
      <c r="P47" s="431" t="s">
        <v>621</v>
      </c>
      <c r="Q47" s="431" t="s">
        <v>621</v>
      </c>
      <c r="R47" s="431" t="s">
        <v>621</v>
      </c>
      <c r="S47" s="431" t="s">
        <v>621</v>
      </c>
      <c r="T47" s="921" t="str">
        <f t="shared" si="1"/>
        <v>нд</v>
      </c>
      <c r="U47" s="431" t="s">
        <v>621</v>
      </c>
      <c r="V47" s="431" t="s">
        <v>621</v>
      </c>
      <c r="W47" s="431" t="s">
        <v>621</v>
      </c>
      <c r="X47" s="431" t="s">
        <v>621</v>
      </c>
      <c r="Y47" s="431" t="s">
        <v>621</v>
      </c>
      <c r="Z47" s="431" t="s">
        <v>621</v>
      </c>
      <c r="AA47" s="431" t="s">
        <v>621</v>
      </c>
      <c r="AB47" s="431" t="s">
        <v>621</v>
      </c>
      <c r="AC47" s="431" t="s">
        <v>621</v>
      </c>
      <c r="AD47" s="431" t="s">
        <v>621</v>
      </c>
      <c r="AE47" s="431" t="s">
        <v>621</v>
      </c>
      <c r="AF47" s="431" t="s">
        <v>621</v>
      </c>
      <c r="AG47" s="431" t="s">
        <v>621</v>
      </c>
      <c r="AH47" s="431" t="s">
        <v>621</v>
      </c>
      <c r="AI47" s="431" t="s">
        <v>621</v>
      </c>
      <c r="AJ47" s="431" t="s">
        <v>621</v>
      </c>
      <c r="AK47" s="431" t="s">
        <v>621</v>
      </c>
      <c r="AL47" s="431" t="s">
        <v>621</v>
      </c>
      <c r="AM47" s="431" t="s">
        <v>621</v>
      </c>
      <c r="AN47" s="431" t="s">
        <v>621</v>
      </c>
      <c r="AO47" s="431" t="s">
        <v>621</v>
      </c>
      <c r="AP47" s="431" t="s">
        <v>621</v>
      </c>
      <c r="AQ47" s="431" t="s">
        <v>621</v>
      </c>
      <c r="AR47" s="431" t="s">
        <v>621</v>
      </c>
      <c r="AS47" s="431" t="s">
        <v>621</v>
      </c>
    </row>
    <row r="48" spans="1:45" s="439" customFormat="1" ht="153.75" hidden="1" x14ac:dyDescent="0.45">
      <c r="A48" s="270" t="s">
        <v>592</v>
      </c>
      <c r="B48" s="430" t="s">
        <v>737</v>
      </c>
      <c r="C48" s="431" t="s">
        <v>621</v>
      </c>
      <c r="D48" s="431" t="s">
        <v>621</v>
      </c>
      <c r="E48" s="431" t="s">
        <v>621</v>
      </c>
      <c r="F48" s="431" t="s">
        <v>621</v>
      </c>
      <c r="G48" s="431" t="s">
        <v>621</v>
      </c>
      <c r="H48" s="431" t="s">
        <v>621</v>
      </c>
      <c r="I48" s="431" t="s">
        <v>621</v>
      </c>
      <c r="J48" s="431" t="s">
        <v>621</v>
      </c>
      <c r="K48" s="431" t="s">
        <v>621</v>
      </c>
      <c r="L48" s="431" t="s">
        <v>621</v>
      </c>
      <c r="M48" s="431" t="str">
        <f t="shared" si="2"/>
        <v>нд</v>
      </c>
      <c r="N48" s="431">
        <v>1.0109999999999999</v>
      </c>
      <c r="O48" s="431" t="s">
        <v>621</v>
      </c>
      <c r="P48" s="431" t="s">
        <v>621</v>
      </c>
      <c r="Q48" s="431" t="s">
        <v>621</v>
      </c>
      <c r="R48" s="431" t="s">
        <v>621</v>
      </c>
      <c r="S48" s="431" t="s">
        <v>621</v>
      </c>
      <c r="T48" s="921" t="str">
        <f t="shared" si="1"/>
        <v>нд</v>
      </c>
      <c r="U48" s="431" t="s">
        <v>621</v>
      </c>
      <c r="V48" s="431" t="s">
        <v>621</v>
      </c>
      <c r="W48" s="431" t="s">
        <v>621</v>
      </c>
      <c r="X48" s="431" t="s">
        <v>621</v>
      </c>
      <c r="Y48" s="431" t="s">
        <v>621</v>
      </c>
      <c r="Z48" s="431" t="s">
        <v>621</v>
      </c>
      <c r="AA48" s="431" t="s">
        <v>621</v>
      </c>
      <c r="AB48" s="431" t="s">
        <v>621</v>
      </c>
      <c r="AC48" s="431" t="s">
        <v>621</v>
      </c>
      <c r="AD48" s="431" t="s">
        <v>621</v>
      </c>
      <c r="AE48" s="431" t="s">
        <v>621</v>
      </c>
      <c r="AF48" s="431" t="s">
        <v>621</v>
      </c>
      <c r="AG48" s="431" t="s">
        <v>621</v>
      </c>
      <c r="AH48" s="431" t="s">
        <v>621</v>
      </c>
      <c r="AI48" s="431" t="s">
        <v>621</v>
      </c>
      <c r="AJ48" s="431" t="s">
        <v>621</v>
      </c>
      <c r="AK48" s="431" t="s">
        <v>621</v>
      </c>
      <c r="AL48" s="431" t="s">
        <v>621</v>
      </c>
      <c r="AM48" s="431" t="s">
        <v>621</v>
      </c>
      <c r="AN48" s="431" t="s">
        <v>621</v>
      </c>
      <c r="AO48" s="431" t="s">
        <v>621</v>
      </c>
      <c r="AP48" s="431" t="s">
        <v>621</v>
      </c>
      <c r="AQ48" s="431" t="s">
        <v>621</v>
      </c>
      <c r="AR48" s="431" t="s">
        <v>621</v>
      </c>
      <c r="AS48" s="431" t="s">
        <v>621</v>
      </c>
    </row>
    <row r="49" spans="1:45" s="439" customFormat="1" ht="135.75" customHeight="1" x14ac:dyDescent="0.45">
      <c r="A49" s="270" t="s">
        <v>545</v>
      </c>
      <c r="B49" s="430" t="s">
        <v>697</v>
      </c>
      <c r="C49" s="431" t="s">
        <v>621</v>
      </c>
      <c r="D49" s="431" t="s">
        <v>621</v>
      </c>
      <c r="E49" s="431" t="s">
        <v>621</v>
      </c>
      <c r="F49" s="431" t="s">
        <v>621</v>
      </c>
      <c r="G49" s="431" t="s">
        <v>621</v>
      </c>
      <c r="H49" s="431" t="s">
        <v>621</v>
      </c>
      <c r="I49" s="431" t="s">
        <v>621</v>
      </c>
      <c r="J49" s="431" t="s">
        <v>621</v>
      </c>
      <c r="K49" s="431" t="s">
        <v>621</v>
      </c>
      <c r="L49" s="431" t="s">
        <v>621</v>
      </c>
      <c r="M49" s="431" t="str">
        <f t="shared" si="2"/>
        <v>нд</v>
      </c>
      <c r="N49" s="356">
        <f>N50</f>
        <v>6.32</v>
      </c>
      <c r="O49" s="356">
        <f>O50</f>
        <v>19.242999999999999</v>
      </c>
      <c r="P49" s="431" t="s">
        <v>621</v>
      </c>
      <c r="Q49" s="431" t="s">
        <v>621</v>
      </c>
      <c r="R49" s="431" t="s">
        <v>621</v>
      </c>
      <c r="S49" s="431" t="s">
        <v>621</v>
      </c>
      <c r="T49" s="264" t="str">
        <f t="shared" si="1"/>
        <v>нд</v>
      </c>
      <c r="U49" s="431" t="s">
        <v>621</v>
      </c>
      <c r="V49" s="431" t="s">
        <v>621</v>
      </c>
      <c r="W49" s="431" t="s">
        <v>621</v>
      </c>
      <c r="X49" s="431" t="s">
        <v>621</v>
      </c>
      <c r="Y49" s="431" t="s">
        <v>621</v>
      </c>
      <c r="Z49" s="431" t="s">
        <v>621</v>
      </c>
      <c r="AA49" s="431" t="s">
        <v>621</v>
      </c>
      <c r="AB49" s="431" t="s">
        <v>621</v>
      </c>
      <c r="AC49" s="431" t="s">
        <v>621</v>
      </c>
      <c r="AD49" s="431" t="s">
        <v>621</v>
      </c>
      <c r="AE49" s="431" t="s">
        <v>621</v>
      </c>
      <c r="AF49" s="431" t="s">
        <v>621</v>
      </c>
      <c r="AG49" s="431" t="s">
        <v>621</v>
      </c>
      <c r="AH49" s="431" t="s">
        <v>621</v>
      </c>
      <c r="AI49" s="431" t="s">
        <v>621</v>
      </c>
      <c r="AJ49" s="431" t="s">
        <v>621</v>
      </c>
      <c r="AK49" s="431" t="s">
        <v>621</v>
      </c>
      <c r="AL49" s="431" t="s">
        <v>621</v>
      </c>
      <c r="AM49" s="431" t="s">
        <v>621</v>
      </c>
      <c r="AN49" s="431" t="s">
        <v>621</v>
      </c>
      <c r="AO49" s="431" t="s">
        <v>621</v>
      </c>
      <c r="AP49" s="431" t="s">
        <v>621</v>
      </c>
      <c r="AQ49" s="431" t="s">
        <v>621</v>
      </c>
      <c r="AR49" s="431" t="s">
        <v>621</v>
      </c>
      <c r="AS49" s="431" t="s">
        <v>621</v>
      </c>
    </row>
    <row r="50" spans="1:45" s="440" customFormat="1" ht="102" customHeight="1" x14ac:dyDescent="0.45">
      <c r="A50" s="316" t="s">
        <v>595</v>
      </c>
      <c r="B50" s="426" t="s">
        <v>746</v>
      </c>
      <c r="C50" s="262" t="s">
        <v>621</v>
      </c>
      <c r="D50" s="262" t="s">
        <v>621</v>
      </c>
      <c r="E50" s="262" t="s">
        <v>621</v>
      </c>
      <c r="F50" s="262" t="s">
        <v>621</v>
      </c>
      <c r="G50" s="262" t="s">
        <v>621</v>
      </c>
      <c r="H50" s="262" t="s">
        <v>621</v>
      </c>
      <c r="I50" s="262" t="s">
        <v>621</v>
      </c>
      <c r="J50" s="262" t="s">
        <v>621</v>
      </c>
      <c r="K50" s="262" t="s">
        <v>621</v>
      </c>
      <c r="L50" s="262" t="s">
        <v>621</v>
      </c>
      <c r="M50" s="262" t="str">
        <f t="shared" si="2"/>
        <v>нд</v>
      </c>
      <c r="N50" s="262">
        <v>6.32</v>
      </c>
      <c r="O50" s="256">
        <f>SUM(O51:O66)</f>
        <v>19.242999999999999</v>
      </c>
      <c r="P50" s="262" t="s">
        <v>621</v>
      </c>
      <c r="Q50" s="262" t="s">
        <v>621</v>
      </c>
      <c r="R50" s="262" t="s">
        <v>621</v>
      </c>
      <c r="S50" s="262" t="s">
        <v>621</v>
      </c>
      <c r="T50" s="262" t="str">
        <f t="shared" si="1"/>
        <v>нд</v>
      </c>
      <c r="U50" s="262" t="s">
        <v>621</v>
      </c>
      <c r="V50" s="262" t="s">
        <v>621</v>
      </c>
      <c r="W50" s="262" t="s">
        <v>621</v>
      </c>
      <c r="X50" s="262" t="s">
        <v>621</v>
      </c>
      <c r="Y50" s="262" t="s">
        <v>621</v>
      </c>
      <c r="Z50" s="262" t="s">
        <v>621</v>
      </c>
      <c r="AA50" s="262" t="s">
        <v>621</v>
      </c>
      <c r="AB50" s="262" t="s">
        <v>621</v>
      </c>
      <c r="AC50" s="262" t="s">
        <v>621</v>
      </c>
      <c r="AD50" s="262" t="s">
        <v>621</v>
      </c>
      <c r="AE50" s="262" t="s">
        <v>621</v>
      </c>
      <c r="AF50" s="262" t="s">
        <v>621</v>
      </c>
      <c r="AG50" s="262" t="s">
        <v>621</v>
      </c>
      <c r="AH50" s="262" t="s">
        <v>621</v>
      </c>
      <c r="AI50" s="262" t="s">
        <v>621</v>
      </c>
      <c r="AJ50" s="262" t="s">
        <v>621</v>
      </c>
      <c r="AK50" s="262" t="s">
        <v>621</v>
      </c>
      <c r="AL50" s="262" t="s">
        <v>621</v>
      </c>
      <c r="AM50" s="262" t="s">
        <v>621</v>
      </c>
      <c r="AN50" s="262" t="s">
        <v>621</v>
      </c>
      <c r="AO50" s="262" t="s">
        <v>621</v>
      </c>
      <c r="AP50" s="262" t="s">
        <v>621</v>
      </c>
      <c r="AQ50" s="262" t="s">
        <v>621</v>
      </c>
      <c r="AR50" s="262" t="s">
        <v>621</v>
      </c>
      <c r="AS50" s="262" t="s">
        <v>621</v>
      </c>
    </row>
    <row r="51" spans="1:45" s="440" customFormat="1" ht="174" customHeight="1" x14ac:dyDescent="0.45">
      <c r="A51" s="316" t="s">
        <v>819</v>
      </c>
      <c r="B51" s="426" t="s">
        <v>816</v>
      </c>
      <c r="C51" s="262" t="str">
        <f>CONCATENATE("J","_",2021,"_",A51)</f>
        <v>J_2021_1.2.2.1.4</v>
      </c>
      <c r="D51" s="262" t="s">
        <v>621</v>
      </c>
      <c r="E51" s="262" t="s">
        <v>621</v>
      </c>
      <c r="F51" s="262" t="s">
        <v>621</v>
      </c>
      <c r="G51" s="262" t="s">
        <v>621</v>
      </c>
      <c r="H51" s="262" t="s">
        <v>621</v>
      </c>
      <c r="I51" s="262" t="s">
        <v>621</v>
      </c>
      <c r="J51" s="262" t="s">
        <v>621</v>
      </c>
      <c r="K51" s="262" t="s">
        <v>621</v>
      </c>
      <c r="L51" s="262" t="s">
        <v>621</v>
      </c>
      <c r="M51" s="262" t="str">
        <f t="shared" si="2"/>
        <v>нд</v>
      </c>
      <c r="N51" s="262">
        <v>1.0109999999999999</v>
      </c>
      <c r="O51" s="256">
        <v>4.3159999999999998</v>
      </c>
      <c r="P51" s="262" t="s">
        <v>621</v>
      </c>
      <c r="Q51" s="262" t="s">
        <v>621</v>
      </c>
      <c r="R51" s="262" t="s">
        <v>621</v>
      </c>
      <c r="S51" s="262" t="s">
        <v>621</v>
      </c>
      <c r="T51" s="262" t="str">
        <f t="shared" si="1"/>
        <v>нд</v>
      </c>
      <c r="U51" s="262" t="s">
        <v>621</v>
      </c>
      <c r="V51" s="262" t="s">
        <v>621</v>
      </c>
      <c r="W51" s="262" t="s">
        <v>621</v>
      </c>
      <c r="X51" s="262" t="s">
        <v>621</v>
      </c>
      <c r="Y51" s="262" t="s">
        <v>621</v>
      </c>
      <c r="Z51" s="262" t="s">
        <v>621</v>
      </c>
      <c r="AA51" s="262" t="s">
        <v>621</v>
      </c>
      <c r="AB51" s="262" t="s">
        <v>621</v>
      </c>
      <c r="AC51" s="262" t="s">
        <v>621</v>
      </c>
      <c r="AD51" s="262" t="s">
        <v>621</v>
      </c>
      <c r="AE51" s="262" t="s">
        <v>621</v>
      </c>
      <c r="AF51" s="262" t="s">
        <v>621</v>
      </c>
      <c r="AG51" s="262" t="s">
        <v>621</v>
      </c>
      <c r="AH51" s="262" t="s">
        <v>621</v>
      </c>
      <c r="AI51" s="262" t="s">
        <v>621</v>
      </c>
      <c r="AJ51" s="262" t="s">
        <v>621</v>
      </c>
      <c r="AK51" s="262" t="s">
        <v>621</v>
      </c>
      <c r="AL51" s="262" t="s">
        <v>621</v>
      </c>
      <c r="AM51" s="262" t="s">
        <v>621</v>
      </c>
      <c r="AN51" s="262" t="s">
        <v>621</v>
      </c>
      <c r="AO51" s="262" t="s">
        <v>621</v>
      </c>
      <c r="AP51" s="262" t="s">
        <v>621</v>
      </c>
      <c r="AQ51" s="262" t="s">
        <v>621</v>
      </c>
      <c r="AR51" s="262" t="s">
        <v>621</v>
      </c>
      <c r="AS51" s="262" t="s">
        <v>621</v>
      </c>
    </row>
    <row r="52" spans="1:45" s="440" customFormat="1" ht="198" customHeight="1" x14ac:dyDescent="0.45">
      <c r="A52" s="316" t="s">
        <v>820</v>
      </c>
      <c r="B52" s="426" t="s">
        <v>865</v>
      </c>
      <c r="C52" s="262" t="str">
        <f>CONCATENATE("J","_",2021,"_",A52)</f>
        <v>J_2021_1.2.2.1.5</v>
      </c>
      <c r="D52" s="262" t="s">
        <v>621</v>
      </c>
      <c r="E52" s="262" t="s">
        <v>621</v>
      </c>
      <c r="F52" s="262" t="s">
        <v>621</v>
      </c>
      <c r="G52" s="262" t="s">
        <v>621</v>
      </c>
      <c r="H52" s="262" t="s">
        <v>621</v>
      </c>
      <c r="I52" s="262" t="s">
        <v>621</v>
      </c>
      <c r="J52" s="262" t="s">
        <v>621</v>
      </c>
      <c r="K52" s="262" t="s">
        <v>621</v>
      </c>
      <c r="L52" s="262" t="s">
        <v>621</v>
      </c>
      <c r="M52" s="262" t="str">
        <f t="shared" si="2"/>
        <v>нд</v>
      </c>
      <c r="N52" s="256">
        <v>3</v>
      </c>
      <c r="O52" s="256">
        <v>7.1050000000000004</v>
      </c>
      <c r="P52" s="262" t="s">
        <v>621</v>
      </c>
      <c r="Q52" s="262" t="s">
        <v>621</v>
      </c>
      <c r="R52" s="262" t="s">
        <v>621</v>
      </c>
      <c r="S52" s="262" t="s">
        <v>621</v>
      </c>
      <c r="T52" s="262" t="str">
        <f t="shared" si="1"/>
        <v>нд</v>
      </c>
      <c r="U52" s="262" t="s">
        <v>621</v>
      </c>
      <c r="V52" s="262" t="s">
        <v>621</v>
      </c>
      <c r="W52" s="262" t="s">
        <v>621</v>
      </c>
      <c r="X52" s="262" t="s">
        <v>621</v>
      </c>
      <c r="Y52" s="262" t="s">
        <v>621</v>
      </c>
      <c r="Z52" s="262" t="s">
        <v>621</v>
      </c>
      <c r="AA52" s="262" t="s">
        <v>621</v>
      </c>
      <c r="AB52" s="262" t="s">
        <v>621</v>
      </c>
      <c r="AC52" s="262" t="s">
        <v>621</v>
      </c>
      <c r="AD52" s="262" t="s">
        <v>621</v>
      </c>
      <c r="AE52" s="262" t="s">
        <v>621</v>
      </c>
      <c r="AF52" s="262" t="s">
        <v>621</v>
      </c>
      <c r="AG52" s="262" t="s">
        <v>621</v>
      </c>
      <c r="AH52" s="262" t="s">
        <v>621</v>
      </c>
      <c r="AI52" s="262" t="s">
        <v>621</v>
      </c>
      <c r="AJ52" s="262" t="s">
        <v>621</v>
      </c>
      <c r="AK52" s="262" t="s">
        <v>621</v>
      </c>
      <c r="AL52" s="262" t="s">
        <v>621</v>
      </c>
      <c r="AM52" s="262" t="s">
        <v>621</v>
      </c>
      <c r="AN52" s="262" t="s">
        <v>621</v>
      </c>
      <c r="AO52" s="262" t="s">
        <v>621</v>
      </c>
      <c r="AP52" s="262" t="s">
        <v>621</v>
      </c>
      <c r="AQ52" s="262" t="s">
        <v>621</v>
      </c>
      <c r="AR52" s="262" t="s">
        <v>621</v>
      </c>
      <c r="AS52" s="262" t="s">
        <v>621</v>
      </c>
    </row>
    <row r="53" spans="1:45" s="440" customFormat="1" ht="95.25" customHeight="1" x14ac:dyDescent="0.45">
      <c r="A53" s="316" t="s">
        <v>863</v>
      </c>
      <c r="B53" s="426" t="s">
        <v>915</v>
      </c>
      <c r="C53" s="262" t="str">
        <f>CONCATENATE("J","_",2021,"_",A53)</f>
        <v>J_2021_1.2.2.1.6</v>
      </c>
      <c r="D53" s="262" t="s">
        <v>621</v>
      </c>
      <c r="E53" s="262" t="s">
        <v>621</v>
      </c>
      <c r="F53" s="262" t="s">
        <v>621</v>
      </c>
      <c r="G53" s="262" t="s">
        <v>621</v>
      </c>
      <c r="H53" s="262" t="s">
        <v>621</v>
      </c>
      <c r="I53" s="262" t="s">
        <v>621</v>
      </c>
      <c r="J53" s="262" t="s">
        <v>621</v>
      </c>
      <c r="K53" s="262" t="s">
        <v>621</v>
      </c>
      <c r="L53" s="262" t="s">
        <v>621</v>
      </c>
      <c r="M53" s="262" t="str">
        <f t="shared" si="2"/>
        <v>нд</v>
      </c>
      <c r="N53" s="262">
        <v>2.3090000000000002</v>
      </c>
      <c r="O53" s="262">
        <v>0</v>
      </c>
      <c r="P53" s="262" t="s">
        <v>621</v>
      </c>
      <c r="Q53" s="262" t="s">
        <v>621</v>
      </c>
      <c r="R53" s="262" t="s">
        <v>621</v>
      </c>
      <c r="S53" s="262" t="s">
        <v>621</v>
      </c>
      <c r="T53" s="262" t="str">
        <f t="shared" si="1"/>
        <v>нд</v>
      </c>
      <c r="U53" s="262" t="s">
        <v>621</v>
      </c>
      <c r="V53" s="262" t="s">
        <v>621</v>
      </c>
      <c r="W53" s="262" t="s">
        <v>621</v>
      </c>
      <c r="X53" s="262" t="s">
        <v>621</v>
      </c>
      <c r="Y53" s="262" t="s">
        <v>621</v>
      </c>
      <c r="Z53" s="262" t="s">
        <v>621</v>
      </c>
      <c r="AA53" s="262" t="s">
        <v>621</v>
      </c>
      <c r="AB53" s="262" t="s">
        <v>621</v>
      </c>
      <c r="AC53" s="262" t="s">
        <v>621</v>
      </c>
      <c r="AD53" s="262" t="s">
        <v>621</v>
      </c>
      <c r="AE53" s="262" t="s">
        <v>621</v>
      </c>
      <c r="AF53" s="262" t="s">
        <v>621</v>
      </c>
      <c r="AG53" s="262" t="s">
        <v>621</v>
      </c>
      <c r="AH53" s="262" t="s">
        <v>621</v>
      </c>
      <c r="AI53" s="262" t="s">
        <v>621</v>
      </c>
      <c r="AJ53" s="262" t="s">
        <v>621</v>
      </c>
      <c r="AK53" s="262" t="s">
        <v>621</v>
      </c>
      <c r="AL53" s="262" t="s">
        <v>621</v>
      </c>
      <c r="AM53" s="262" t="s">
        <v>621</v>
      </c>
      <c r="AN53" s="262" t="s">
        <v>621</v>
      </c>
      <c r="AO53" s="262" t="s">
        <v>621</v>
      </c>
      <c r="AP53" s="262" t="s">
        <v>621</v>
      </c>
      <c r="AQ53" s="262" t="s">
        <v>621</v>
      </c>
      <c r="AR53" s="262" t="s">
        <v>621</v>
      </c>
      <c r="AS53" s="262" t="s">
        <v>621</v>
      </c>
    </row>
    <row r="54" spans="1:45" s="236" customFormat="1" ht="123" hidden="1" x14ac:dyDescent="0.45">
      <c r="A54" s="316" t="s">
        <v>596</v>
      </c>
      <c r="B54" s="426" t="s">
        <v>738</v>
      </c>
      <c r="C54" s="433" t="s">
        <v>621</v>
      </c>
      <c r="D54" s="433" t="s">
        <v>621</v>
      </c>
      <c r="E54" s="433" t="s">
        <v>621</v>
      </c>
      <c r="F54" s="433" t="s">
        <v>621</v>
      </c>
      <c r="G54" s="433" t="s">
        <v>621</v>
      </c>
      <c r="H54" s="433" t="s">
        <v>621</v>
      </c>
      <c r="I54" s="433" t="s">
        <v>621</v>
      </c>
      <c r="J54" s="433" t="s">
        <v>621</v>
      </c>
      <c r="K54" s="433" t="s">
        <v>621</v>
      </c>
      <c r="L54" s="433" t="s">
        <v>621</v>
      </c>
      <c r="M54" s="262" t="str">
        <f t="shared" si="2"/>
        <v>нд</v>
      </c>
      <c r="N54" s="433" t="s">
        <v>621</v>
      </c>
      <c r="O54" s="433" t="s">
        <v>621</v>
      </c>
      <c r="P54" s="262" t="s">
        <v>621</v>
      </c>
      <c r="Q54" s="262" t="s">
        <v>621</v>
      </c>
      <c r="R54" s="262" t="s">
        <v>621</v>
      </c>
      <c r="S54" s="262" t="s">
        <v>621</v>
      </c>
      <c r="T54" s="262" t="str">
        <f t="shared" si="1"/>
        <v>нд</v>
      </c>
      <c r="U54" s="262" t="s">
        <v>621</v>
      </c>
      <c r="V54" s="262" t="s">
        <v>621</v>
      </c>
      <c r="W54" s="262" t="s">
        <v>621</v>
      </c>
      <c r="X54" s="262" t="s">
        <v>621</v>
      </c>
      <c r="Y54" s="262" t="s">
        <v>621</v>
      </c>
      <c r="Z54" s="262" t="s">
        <v>621</v>
      </c>
      <c r="AA54" s="262" t="s">
        <v>621</v>
      </c>
      <c r="AB54" s="262" t="s">
        <v>621</v>
      </c>
      <c r="AC54" s="262" t="s">
        <v>621</v>
      </c>
      <c r="AD54" s="262" t="s">
        <v>621</v>
      </c>
      <c r="AE54" s="262" t="s">
        <v>621</v>
      </c>
      <c r="AF54" s="262" t="s">
        <v>621</v>
      </c>
      <c r="AG54" s="262" t="s">
        <v>621</v>
      </c>
      <c r="AH54" s="262" t="s">
        <v>621</v>
      </c>
      <c r="AI54" s="262" t="s">
        <v>621</v>
      </c>
      <c r="AJ54" s="262" t="s">
        <v>621</v>
      </c>
      <c r="AK54" s="262" t="s">
        <v>621</v>
      </c>
      <c r="AL54" s="262" t="s">
        <v>621</v>
      </c>
      <c r="AM54" s="262" t="s">
        <v>621</v>
      </c>
      <c r="AN54" s="262" t="s">
        <v>621</v>
      </c>
      <c r="AO54" s="262" t="s">
        <v>621</v>
      </c>
      <c r="AP54" s="262" t="s">
        <v>621</v>
      </c>
      <c r="AQ54" s="262" t="s">
        <v>621</v>
      </c>
      <c r="AR54" s="262" t="s">
        <v>621</v>
      </c>
      <c r="AS54" s="262" t="s">
        <v>621</v>
      </c>
    </row>
    <row r="55" spans="1:45" s="236" customFormat="1" ht="96.75" customHeight="1" x14ac:dyDescent="0.45">
      <c r="A55" s="316" t="str">
        <f>'2 (цены с НДС)'!A35</f>
        <v>1.2.2.1.13</v>
      </c>
      <c r="B55" s="916" t="str">
        <f>'2 (цены с НДС)'!B35</f>
        <v>Прокладка КЛ-6 кВ от ТП-4620 до ТП-4682, от ТП-4620 до ТП-4903 ул. Александровича, Комитетская</v>
      </c>
      <c r="C55" s="917" t="str">
        <f>'2 (цены с НДС)'!C35</f>
        <v>J_2021_1.2.2.1.13</v>
      </c>
      <c r="D55" s="433" t="s">
        <v>621</v>
      </c>
      <c r="E55" s="433" t="s">
        <v>621</v>
      </c>
      <c r="F55" s="433" t="s">
        <v>621</v>
      </c>
      <c r="G55" s="433" t="s">
        <v>621</v>
      </c>
      <c r="H55" s="433" t="s">
        <v>621</v>
      </c>
      <c r="I55" s="433" t="s">
        <v>621</v>
      </c>
      <c r="J55" s="433" t="s">
        <v>621</v>
      </c>
      <c r="K55" s="433" t="s">
        <v>621</v>
      </c>
      <c r="L55" s="433" t="s">
        <v>621</v>
      </c>
      <c r="M55" s="433" t="s">
        <v>621</v>
      </c>
      <c r="N55" s="433">
        <v>0</v>
      </c>
      <c r="O55" s="433">
        <v>2.3039999999999998</v>
      </c>
      <c r="P55" s="262" t="s">
        <v>621</v>
      </c>
      <c r="Q55" s="262" t="s">
        <v>621</v>
      </c>
      <c r="R55" s="262" t="s">
        <v>621</v>
      </c>
      <c r="S55" s="262" t="s">
        <v>621</v>
      </c>
      <c r="T55" s="262" t="str">
        <f t="shared" si="1"/>
        <v>нд</v>
      </c>
      <c r="U55" s="262" t="s">
        <v>621</v>
      </c>
      <c r="V55" s="262" t="s">
        <v>621</v>
      </c>
      <c r="W55" s="262" t="s">
        <v>621</v>
      </c>
      <c r="X55" s="262" t="s">
        <v>621</v>
      </c>
      <c r="Y55" s="262" t="s">
        <v>621</v>
      </c>
      <c r="Z55" s="262" t="s">
        <v>621</v>
      </c>
      <c r="AA55" s="262" t="s">
        <v>621</v>
      </c>
      <c r="AB55" s="262" t="s">
        <v>621</v>
      </c>
      <c r="AC55" s="262" t="s">
        <v>621</v>
      </c>
      <c r="AD55" s="262" t="s">
        <v>621</v>
      </c>
      <c r="AE55" s="262" t="s">
        <v>621</v>
      </c>
      <c r="AF55" s="262" t="s">
        <v>621</v>
      </c>
      <c r="AG55" s="262" t="s">
        <v>621</v>
      </c>
      <c r="AH55" s="262" t="s">
        <v>621</v>
      </c>
      <c r="AI55" s="262" t="s">
        <v>621</v>
      </c>
      <c r="AJ55" s="262" t="s">
        <v>621</v>
      </c>
      <c r="AK55" s="262" t="s">
        <v>621</v>
      </c>
      <c r="AL55" s="262" t="s">
        <v>621</v>
      </c>
      <c r="AM55" s="262" t="s">
        <v>621</v>
      </c>
      <c r="AN55" s="262" t="s">
        <v>621</v>
      </c>
      <c r="AO55" s="262" t="s">
        <v>621</v>
      </c>
      <c r="AP55" s="262" t="s">
        <v>621</v>
      </c>
      <c r="AQ55" s="262" t="s">
        <v>621</v>
      </c>
      <c r="AR55" s="262" t="s">
        <v>621</v>
      </c>
      <c r="AS55" s="262" t="s">
        <v>621</v>
      </c>
    </row>
    <row r="56" spans="1:45" s="236" customFormat="1" ht="92.25" x14ac:dyDescent="0.45">
      <c r="A56" s="316" t="str">
        <f>'2 (цены с НДС)'!A36</f>
        <v>1.2.2.1.14</v>
      </c>
      <c r="B56" s="916" t="str">
        <f>'2 (цены с НДС)'!B36</f>
        <v>Прокладка КЛ-6 кВ от ТП-257 до ТП-258 в районе ул. Нерчинская, 40</v>
      </c>
      <c r="C56" s="917" t="str">
        <f>'2 (цены с НДС)'!C36</f>
        <v>J_2021_1.2.2.1.14</v>
      </c>
      <c r="D56" s="433" t="s">
        <v>621</v>
      </c>
      <c r="E56" s="433" t="s">
        <v>621</v>
      </c>
      <c r="F56" s="433" t="s">
        <v>621</v>
      </c>
      <c r="G56" s="433" t="s">
        <v>621</v>
      </c>
      <c r="H56" s="433" t="s">
        <v>621</v>
      </c>
      <c r="I56" s="433" t="s">
        <v>621</v>
      </c>
      <c r="J56" s="433" t="s">
        <v>621</v>
      </c>
      <c r="K56" s="433" t="s">
        <v>621</v>
      </c>
      <c r="L56" s="433" t="s">
        <v>621</v>
      </c>
      <c r="M56" s="433" t="s">
        <v>621</v>
      </c>
      <c r="N56" s="433">
        <v>0</v>
      </c>
      <c r="O56" s="919">
        <v>0.95899999999999996</v>
      </c>
      <c r="P56" s="262" t="s">
        <v>621</v>
      </c>
      <c r="Q56" s="262" t="s">
        <v>621</v>
      </c>
      <c r="R56" s="262" t="s">
        <v>621</v>
      </c>
      <c r="S56" s="262" t="s">
        <v>621</v>
      </c>
      <c r="T56" s="262" t="str">
        <f t="shared" si="1"/>
        <v>нд</v>
      </c>
      <c r="U56" s="262" t="s">
        <v>621</v>
      </c>
      <c r="V56" s="262" t="s">
        <v>621</v>
      </c>
      <c r="W56" s="262" t="s">
        <v>621</v>
      </c>
      <c r="X56" s="262" t="s">
        <v>621</v>
      </c>
      <c r="Y56" s="262" t="s">
        <v>621</v>
      </c>
      <c r="Z56" s="262" t="s">
        <v>621</v>
      </c>
      <c r="AA56" s="262" t="s">
        <v>621</v>
      </c>
      <c r="AB56" s="262" t="s">
        <v>621</v>
      </c>
      <c r="AC56" s="262" t="s">
        <v>621</v>
      </c>
      <c r="AD56" s="262" t="s">
        <v>621</v>
      </c>
      <c r="AE56" s="262" t="s">
        <v>621</v>
      </c>
      <c r="AF56" s="262" t="s">
        <v>621</v>
      </c>
      <c r="AG56" s="262" t="s">
        <v>621</v>
      </c>
      <c r="AH56" s="262" t="s">
        <v>621</v>
      </c>
      <c r="AI56" s="262" t="s">
        <v>621</v>
      </c>
      <c r="AJ56" s="262" t="s">
        <v>621</v>
      </c>
      <c r="AK56" s="262" t="s">
        <v>621</v>
      </c>
      <c r="AL56" s="262" t="s">
        <v>621</v>
      </c>
      <c r="AM56" s="262" t="s">
        <v>621</v>
      </c>
      <c r="AN56" s="262" t="s">
        <v>621</v>
      </c>
      <c r="AO56" s="262" t="s">
        <v>621</v>
      </c>
      <c r="AP56" s="262" t="s">
        <v>621</v>
      </c>
      <c r="AQ56" s="262" t="s">
        <v>621</v>
      </c>
      <c r="AR56" s="262" t="s">
        <v>621</v>
      </c>
      <c r="AS56" s="262" t="s">
        <v>621</v>
      </c>
    </row>
    <row r="57" spans="1:45" s="236" customFormat="1" ht="92.25" x14ac:dyDescent="0.45">
      <c r="A57" s="316" t="str">
        <f>'2 (цены с НДС)'!A37</f>
        <v>1.2.2.1.15</v>
      </c>
      <c r="B57" s="916" t="str">
        <f>'2 (цены с НДС)'!B37</f>
        <v>Прокладка КЛ-6 кВ от РТП-21 до ТП-2931 в районе ул. Зои Космодемьянской, 7</v>
      </c>
      <c r="C57" s="917" t="str">
        <f>'2 (цены с НДС)'!C37</f>
        <v>J_2021_1.2.2.1.15</v>
      </c>
      <c r="D57" s="433" t="s">
        <v>621</v>
      </c>
      <c r="E57" s="433" t="s">
        <v>621</v>
      </c>
      <c r="F57" s="433" t="s">
        <v>621</v>
      </c>
      <c r="G57" s="433" t="s">
        <v>621</v>
      </c>
      <c r="H57" s="433" t="s">
        <v>621</v>
      </c>
      <c r="I57" s="433" t="s">
        <v>621</v>
      </c>
      <c r="J57" s="433" t="s">
        <v>621</v>
      </c>
      <c r="K57" s="433" t="s">
        <v>621</v>
      </c>
      <c r="L57" s="433" t="s">
        <v>621</v>
      </c>
      <c r="M57" s="433" t="s">
        <v>621</v>
      </c>
      <c r="N57" s="433">
        <v>0</v>
      </c>
      <c r="O57" s="919">
        <v>0.58199999999999996</v>
      </c>
      <c r="P57" s="262" t="s">
        <v>621</v>
      </c>
      <c r="Q57" s="262" t="s">
        <v>621</v>
      </c>
      <c r="R57" s="262" t="s">
        <v>621</v>
      </c>
      <c r="S57" s="262" t="s">
        <v>621</v>
      </c>
      <c r="T57" s="922" t="str">
        <f t="shared" si="1"/>
        <v>нд</v>
      </c>
      <c r="U57" s="262" t="s">
        <v>621</v>
      </c>
      <c r="V57" s="262" t="s">
        <v>621</v>
      </c>
      <c r="W57" s="262" t="s">
        <v>621</v>
      </c>
      <c r="X57" s="262" t="s">
        <v>621</v>
      </c>
      <c r="Y57" s="262" t="s">
        <v>621</v>
      </c>
      <c r="Z57" s="262" t="s">
        <v>621</v>
      </c>
      <c r="AA57" s="262" t="s">
        <v>621</v>
      </c>
      <c r="AB57" s="262" t="s">
        <v>621</v>
      </c>
      <c r="AC57" s="262" t="s">
        <v>621</v>
      </c>
      <c r="AD57" s="262" t="s">
        <v>621</v>
      </c>
      <c r="AE57" s="262" t="s">
        <v>621</v>
      </c>
      <c r="AF57" s="262" t="s">
        <v>621</v>
      </c>
      <c r="AG57" s="262" t="s">
        <v>621</v>
      </c>
      <c r="AH57" s="262" t="s">
        <v>621</v>
      </c>
      <c r="AI57" s="262" t="s">
        <v>621</v>
      </c>
      <c r="AJ57" s="262" t="s">
        <v>621</v>
      </c>
      <c r="AK57" s="262" t="s">
        <v>621</v>
      </c>
      <c r="AL57" s="262" t="s">
        <v>621</v>
      </c>
      <c r="AM57" s="262" t="s">
        <v>621</v>
      </c>
      <c r="AN57" s="262" t="s">
        <v>621</v>
      </c>
      <c r="AO57" s="262" t="s">
        <v>621</v>
      </c>
      <c r="AP57" s="262" t="s">
        <v>621</v>
      </c>
      <c r="AQ57" s="262" t="s">
        <v>621</v>
      </c>
      <c r="AR57" s="262" t="s">
        <v>621</v>
      </c>
      <c r="AS57" s="262" t="s">
        <v>621</v>
      </c>
    </row>
    <row r="58" spans="1:45" s="236" customFormat="1" ht="92.25" x14ac:dyDescent="0.45">
      <c r="A58" s="316" t="str">
        <f>'2 (цены с НДС)'!A38</f>
        <v>1.2.2.1.16</v>
      </c>
      <c r="B58" s="916" t="str">
        <f>'2 (цены с НДС)'!B38</f>
        <v>Прокладка, КЛ-6кВ от ТП-2858 до ТП-2859 в районе ул. Адмирала Юмашева, 40</v>
      </c>
      <c r="C58" s="917" t="str">
        <f>'2 (цены с НДС)'!C38</f>
        <v>J_2021_1.2.2.1.16</v>
      </c>
      <c r="D58" s="433" t="s">
        <v>621</v>
      </c>
      <c r="E58" s="433" t="s">
        <v>621</v>
      </c>
      <c r="F58" s="433" t="s">
        <v>621</v>
      </c>
      <c r="G58" s="433" t="s">
        <v>621</v>
      </c>
      <c r="H58" s="433" t="s">
        <v>621</v>
      </c>
      <c r="I58" s="433" t="s">
        <v>621</v>
      </c>
      <c r="J58" s="433" t="s">
        <v>621</v>
      </c>
      <c r="K58" s="433" t="s">
        <v>621</v>
      </c>
      <c r="L58" s="433" t="s">
        <v>621</v>
      </c>
      <c r="M58" s="433" t="s">
        <v>621</v>
      </c>
      <c r="N58" s="433">
        <v>0</v>
      </c>
      <c r="O58" s="919">
        <v>0.46500000000000002</v>
      </c>
      <c r="P58" s="262" t="s">
        <v>621</v>
      </c>
      <c r="Q58" s="262" t="s">
        <v>621</v>
      </c>
      <c r="R58" s="262" t="s">
        <v>621</v>
      </c>
      <c r="S58" s="262" t="s">
        <v>621</v>
      </c>
      <c r="T58" s="922" t="str">
        <f t="shared" si="1"/>
        <v>нд</v>
      </c>
      <c r="U58" s="262" t="s">
        <v>621</v>
      </c>
      <c r="V58" s="262" t="s">
        <v>621</v>
      </c>
      <c r="W58" s="262" t="s">
        <v>621</v>
      </c>
      <c r="X58" s="262" t="s">
        <v>621</v>
      </c>
      <c r="Y58" s="262" t="s">
        <v>621</v>
      </c>
      <c r="Z58" s="262" t="s">
        <v>621</v>
      </c>
      <c r="AA58" s="262" t="s">
        <v>621</v>
      </c>
      <c r="AB58" s="262" t="s">
        <v>621</v>
      </c>
      <c r="AC58" s="262" t="s">
        <v>621</v>
      </c>
      <c r="AD58" s="262" t="s">
        <v>621</v>
      </c>
      <c r="AE58" s="262" t="s">
        <v>621</v>
      </c>
      <c r="AF58" s="262" t="s">
        <v>621</v>
      </c>
      <c r="AG58" s="262" t="s">
        <v>621</v>
      </c>
      <c r="AH58" s="262" t="s">
        <v>621</v>
      </c>
      <c r="AI58" s="262" t="s">
        <v>621</v>
      </c>
      <c r="AJ58" s="262" t="s">
        <v>621</v>
      </c>
      <c r="AK58" s="262" t="s">
        <v>621</v>
      </c>
      <c r="AL58" s="262" t="s">
        <v>621</v>
      </c>
      <c r="AM58" s="262" t="s">
        <v>621</v>
      </c>
      <c r="AN58" s="262" t="s">
        <v>621</v>
      </c>
      <c r="AO58" s="262" t="s">
        <v>621</v>
      </c>
      <c r="AP58" s="262" t="s">
        <v>621</v>
      </c>
      <c r="AQ58" s="262" t="s">
        <v>621</v>
      </c>
      <c r="AR58" s="262" t="s">
        <v>621</v>
      </c>
      <c r="AS58" s="262" t="s">
        <v>621</v>
      </c>
    </row>
    <row r="59" spans="1:45" s="236" customFormat="1" ht="92.25" x14ac:dyDescent="0.45">
      <c r="A59" s="316" t="str">
        <f>'2 (цены с НДС)'!A39</f>
        <v>1.2.2.1.17</v>
      </c>
      <c r="B59" s="916" t="str">
        <f>'2 (цены с НДС)'!B39</f>
        <v>Прокладка КЛ-0,4кВ от ТП-107 до ВРУ ж/дома по ул. Хабаровская, 4б</v>
      </c>
      <c r="C59" s="917" t="str">
        <f>'2 (цены с НДС)'!C39</f>
        <v>J_2021_1.2.2.1.17</v>
      </c>
      <c r="D59" s="433" t="s">
        <v>621</v>
      </c>
      <c r="E59" s="433" t="s">
        <v>621</v>
      </c>
      <c r="F59" s="433" t="s">
        <v>621</v>
      </c>
      <c r="G59" s="433" t="s">
        <v>621</v>
      </c>
      <c r="H59" s="433" t="s">
        <v>621</v>
      </c>
      <c r="I59" s="433" t="s">
        <v>621</v>
      </c>
      <c r="J59" s="433" t="s">
        <v>621</v>
      </c>
      <c r="K59" s="433" t="s">
        <v>621</v>
      </c>
      <c r="L59" s="433" t="s">
        <v>621</v>
      </c>
      <c r="M59" s="433" t="s">
        <v>621</v>
      </c>
      <c r="N59" s="433">
        <v>0</v>
      </c>
      <c r="O59" s="919">
        <v>0.33800000000000002</v>
      </c>
      <c r="P59" s="262" t="s">
        <v>621</v>
      </c>
      <c r="Q59" s="262" t="s">
        <v>621</v>
      </c>
      <c r="R59" s="262" t="s">
        <v>621</v>
      </c>
      <c r="S59" s="262" t="s">
        <v>621</v>
      </c>
      <c r="T59" s="922" t="str">
        <f t="shared" si="1"/>
        <v>нд</v>
      </c>
      <c r="U59" s="262" t="s">
        <v>621</v>
      </c>
      <c r="V59" s="262" t="s">
        <v>621</v>
      </c>
      <c r="W59" s="262" t="s">
        <v>621</v>
      </c>
      <c r="X59" s="262" t="s">
        <v>621</v>
      </c>
      <c r="Y59" s="262" t="s">
        <v>621</v>
      </c>
      <c r="Z59" s="262" t="s">
        <v>621</v>
      </c>
      <c r="AA59" s="262" t="s">
        <v>621</v>
      </c>
      <c r="AB59" s="262" t="s">
        <v>621</v>
      </c>
      <c r="AC59" s="262" t="s">
        <v>621</v>
      </c>
      <c r="AD59" s="262" t="s">
        <v>621</v>
      </c>
      <c r="AE59" s="262" t="s">
        <v>621</v>
      </c>
      <c r="AF59" s="262" t="s">
        <v>621</v>
      </c>
      <c r="AG59" s="262" t="s">
        <v>621</v>
      </c>
      <c r="AH59" s="262" t="s">
        <v>621</v>
      </c>
      <c r="AI59" s="262" t="s">
        <v>621</v>
      </c>
      <c r="AJ59" s="262" t="s">
        <v>621</v>
      </c>
      <c r="AK59" s="262" t="s">
        <v>621</v>
      </c>
      <c r="AL59" s="262" t="s">
        <v>621</v>
      </c>
      <c r="AM59" s="262" t="s">
        <v>621</v>
      </c>
      <c r="AN59" s="262" t="s">
        <v>621</v>
      </c>
      <c r="AO59" s="262" t="s">
        <v>621</v>
      </c>
      <c r="AP59" s="262" t="s">
        <v>621</v>
      </c>
      <c r="AQ59" s="262" t="s">
        <v>621</v>
      </c>
      <c r="AR59" s="262" t="s">
        <v>621</v>
      </c>
      <c r="AS59" s="262" t="s">
        <v>621</v>
      </c>
    </row>
    <row r="60" spans="1:45" s="236" customFormat="1" ht="92.25" x14ac:dyDescent="0.45">
      <c r="A60" s="316" t="str">
        <f>'2 (цены с НДС)'!A40</f>
        <v>1.2.2.1.18</v>
      </c>
      <c r="B60" s="916" t="str">
        <f>'2 (цены с НДС)'!B40</f>
        <v>Прокладка КЛ-0,4кВ от ТП-396 до ВРУ ж/дома по ул. Светланская, 85</v>
      </c>
      <c r="C60" s="917" t="str">
        <f>'2 (цены с НДС)'!C40</f>
        <v>J_2021_1.2.2.1.18</v>
      </c>
      <c r="D60" s="433" t="s">
        <v>621</v>
      </c>
      <c r="E60" s="433" t="s">
        <v>621</v>
      </c>
      <c r="F60" s="433" t="s">
        <v>621</v>
      </c>
      <c r="G60" s="433" t="s">
        <v>621</v>
      </c>
      <c r="H60" s="433" t="s">
        <v>621</v>
      </c>
      <c r="I60" s="433" t="s">
        <v>621</v>
      </c>
      <c r="J60" s="433" t="s">
        <v>621</v>
      </c>
      <c r="K60" s="433" t="s">
        <v>621</v>
      </c>
      <c r="L60" s="433" t="s">
        <v>621</v>
      </c>
      <c r="M60" s="433" t="s">
        <v>621</v>
      </c>
      <c r="N60" s="433">
        <v>0</v>
      </c>
      <c r="O60" s="919">
        <v>0.379</v>
      </c>
      <c r="P60" s="262" t="s">
        <v>621</v>
      </c>
      <c r="Q60" s="262" t="s">
        <v>621</v>
      </c>
      <c r="R60" s="262" t="s">
        <v>621</v>
      </c>
      <c r="S60" s="262" t="s">
        <v>621</v>
      </c>
      <c r="T60" s="922" t="str">
        <f t="shared" si="1"/>
        <v>нд</v>
      </c>
      <c r="U60" s="262" t="s">
        <v>621</v>
      </c>
      <c r="V60" s="262" t="s">
        <v>621</v>
      </c>
      <c r="W60" s="262" t="s">
        <v>621</v>
      </c>
      <c r="X60" s="262" t="s">
        <v>621</v>
      </c>
      <c r="Y60" s="262" t="s">
        <v>621</v>
      </c>
      <c r="Z60" s="262" t="s">
        <v>621</v>
      </c>
      <c r="AA60" s="262" t="s">
        <v>621</v>
      </c>
      <c r="AB60" s="262" t="s">
        <v>621</v>
      </c>
      <c r="AC60" s="262" t="s">
        <v>621</v>
      </c>
      <c r="AD60" s="262" t="s">
        <v>621</v>
      </c>
      <c r="AE60" s="262" t="s">
        <v>621</v>
      </c>
      <c r="AF60" s="262" t="s">
        <v>621</v>
      </c>
      <c r="AG60" s="262" t="s">
        <v>621</v>
      </c>
      <c r="AH60" s="262" t="s">
        <v>621</v>
      </c>
      <c r="AI60" s="262" t="s">
        <v>621</v>
      </c>
      <c r="AJ60" s="262" t="s">
        <v>621</v>
      </c>
      <c r="AK60" s="262" t="s">
        <v>621</v>
      </c>
      <c r="AL60" s="262" t="s">
        <v>621</v>
      </c>
      <c r="AM60" s="262" t="s">
        <v>621</v>
      </c>
      <c r="AN60" s="262" t="s">
        <v>621</v>
      </c>
      <c r="AO60" s="262" t="s">
        <v>621</v>
      </c>
      <c r="AP60" s="262" t="s">
        <v>621</v>
      </c>
      <c r="AQ60" s="262" t="s">
        <v>621</v>
      </c>
      <c r="AR60" s="262" t="s">
        <v>621</v>
      </c>
      <c r="AS60" s="262" t="s">
        <v>621</v>
      </c>
    </row>
    <row r="61" spans="1:45" s="236" customFormat="1" ht="61.5" x14ac:dyDescent="0.45">
      <c r="A61" s="316" t="str">
        <f>'2 (цены с НДС)'!A41</f>
        <v>1.2.2.1.19</v>
      </c>
      <c r="B61" s="916" t="str">
        <f>'2 (цены с НДС)'!B41</f>
        <v>Прокладка КЛ-0,4кВ от ТП-483 до ВРУ ж/дома по ул. Рылеева, 8</v>
      </c>
      <c r="C61" s="917" t="str">
        <f>'2 (цены с НДС)'!C41</f>
        <v>J_2021_1.2.2.1.19</v>
      </c>
      <c r="D61" s="433" t="s">
        <v>621</v>
      </c>
      <c r="E61" s="433" t="s">
        <v>621</v>
      </c>
      <c r="F61" s="433" t="s">
        <v>621</v>
      </c>
      <c r="G61" s="433" t="s">
        <v>621</v>
      </c>
      <c r="H61" s="433" t="s">
        <v>621</v>
      </c>
      <c r="I61" s="433" t="s">
        <v>621</v>
      </c>
      <c r="J61" s="433" t="s">
        <v>621</v>
      </c>
      <c r="K61" s="433" t="s">
        <v>621</v>
      </c>
      <c r="L61" s="433" t="s">
        <v>621</v>
      </c>
      <c r="M61" s="433" t="s">
        <v>621</v>
      </c>
      <c r="N61" s="433">
        <v>0</v>
      </c>
      <c r="O61" s="919">
        <v>0.15740000000000001</v>
      </c>
      <c r="P61" s="262" t="s">
        <v>621</v>
      </c>
      <c r="Q61" s="262" t="s">
        <v>621</v>
      </c>
      <c r="R61" s="262" t="s">
        <v>621</v>
      </c>
      <c r="S61" s="262" t="s">
        <v>621</v>
      </c>
      <c r="T61" s="922" t="str">
        <f t="shared" si="1"/>
        <v>нд</v>
      </c>
      <c r="U61" s="262" t="s">
        <v>621</v>
      </c>
      <c r="V61" s="262" t="s">
        <v>621</v>
      </c>
      <c r="W61" s="262" t="s">
        <v>621</v>
      </c>
      <c r="X61" s="262" t="s">
        <v>621</v>
      </c>
      <c r="Y61" s="262" t="s">
        <v>621</v>
      </c>
      <c r="Z61" s="262" t="s">
        <v>621</v>
      </c>
      <c r="AA61" s="262" t="s">
        <v>621</v>
      </c>
      <c r="AB61" s="262" t="s">
        <v>621</v>
      </c>
      <c r="AC61" s="262" t="s">
        <v>621</v>
      </c>
      <c r="AD61" s="262" t="s">
        <v>621</v>
      </c>
      <c r="AE61" s="262" t="s">
        <v>621</v>
      </c>
      <c r="AF61" s="262" t="s">
        <v>621</v>
      </c>
      <c r="AG61" s="262" t="s">
        <v>621</v>
      </c>
      <c r="AH61" s="262" t="s">
        <v>621</v>
      </c>
      <c r="AI61" s="262" t="s">
        <v>621</v>
      </c>
      <c r="AJ61" s="262" t="s">
        <v>621</v>
      </c>
      <c r="AK61" s="262" t="s">
        <v>621</v>
      </c>
      <c r="AL61" s="262" t="s">
        <v>621</v>
      </c>
      <c r="AM61" s="262" t="s">
        <v>621</v>
      </c>
      <c r="AN61" s="262" t="s">
        <v>621</v>
      </c>
      <c r="AO61" s="262" t="s">
        <v>621</v>
      </c>
      <c r="AP61" s="262" t="s">
        <v>621</v>
      </c>
      <c r="AQ61" s="262" t="s">
        <v>621</v>
      </c>
      <c r="AR61" s="262" t="s">
        <v>621</v>
      </c>
      <c r="AS61" s="262" t="s">
        <v>621</v>
      </c>
    </row>
    <row r="62" spans="1:45" s="236" customFormat="1" ht="61.5" x14ac:dyDescent="0.45">
      <c r="A62" s="316" t="str">
        <f>'2 (цены с НДС)'!A42</f>
        <v>1.2.2.1.20</v>
      </c>
      <c r="B62" s="916" t="str">
        <f>'2 (цены с НДС)'!B42</f>
        <v>Прокладка КЛ-0,4кВ от ТП-1554 до ВРУ ж/дома по ул. Русская, 53б</v>
      </c>
      <c r="C62" s="917" t="str">
        <f>'2 (цены с НДС)'!C42</f>
        <v>J_2021_1.2.2.1.20</v>
      </c>
      <c r="D62" s="433" t="s">
        <v>621</v>
      </c>
      <c r="E62" s="433" t="s">
        <v>621</v>
      </c>
      <c r="F62" s="433" t="s">
        <v>621</v>
      </c>
      <c r="G62" s="433" t="s">
        <v>621</v>
      </c>
      <c r="H62" s="433" t="s">
        <v>621</v>
      </c>
      <c r="I62" s="433" t="s">
        <v>621</v>
      </c>
      <c r="J62" s="433" t="s">
        <v>621</v>
      </c>
      <c r="K62" s="433" t="s">
        <v>621</v>
      </c>
      <c r="L62" s="433" t="s">
        <v>621</v>
      </c>
      <c r="M62" s="433" t="s">
        <v>621</v>
      </c>
      <c r="N62" s="433">
        <v>0</v>
      </c>
      <c r="O62" s="919">
        <v>0.37</v>
      </c>
      <c r="P62" s="262" t="s">
        <v>621</v>
      </c>
      <c r="Q62" s="262" t="s">
        <v>621</v>
      </c>
      <c r="R62" s="262" t="s">
        <v>621</v>
      </c>
      <c r="S62" s="262" t="s">
        <v>621</v>
      </c>
      <c r="T62" s="922" t="str">
        <f t="shared" si="1"/>
        <v>нд</v>
      </c>
      <c r="U62" s="262" t="s">
        <v>621</v>
      </c>
      <c r="V62" s="262" t="s">
        <v>621</v>
      </c>
      <c r="W62" s="262" t="s">
        <v>621</v>
      </c>
      <c r="X62" s="262" t="s">
        <v>621</v>
      </c>
      <c r="Y62" s="262" t="s">
        <v>621</v>
      </c>
      <c r="Z62" s="262" t="s">
        <v>621</v>
      </c>
      <c r="AA62" s="262" t="s">
        <v>621</v>
      </c>
      <c r="AB62" s="262" t="s">
        <v>621</v>
      </c>
      <c r="AC62" s="262" t="s">
        <v>621</v>
      </c>
      <c r="AD62" s="262" t="s">
        <v>621</v>
      </c>
      <c r="AE62" s="262" t="s">
        <v>621</v>
      </c>
      <c r="AF62" s="262" t="s">
        <v>621</v>
      </c>
      <c r="AG62" s="262" t="s">
        <v>621</v>
      </c>
      <c r="AH62" s="262" t="s">
        <v>621</v>
      </c>
      <c r="AI62" s="262" t="s">
        <v>621</v>
      </c>
      <c r="AJ62" s="262" t="s">
        <v>621</v>
      </c>
      <c r="AK62" s="262" t="s">
        <v>621</v>
      </c>
      <c r="AL62" s="262" t="s">
        <v>621</v>
      </c>
      <c r="AM62" s="262" t="s">
        <v>621</v>
      </c>
      <c r="AN62" s="262" t="s">
        <v>621</v>
      </c>
      <c r="AO62" s="262" t="s">
        <v>621</v>
      </c>
      <c r="AP62" s="262" t="s">
        <v>621</v>
      </c>
      <c r="AQ62" s="262" t="s">
        <v>621</v>
      </c>
      <c r="AR62" s="262" t="s">
        <v>621</v>
      </c>
      <c r="AS62" s="262" t="s">
        <v>621</v>
      </c>
    </row>
    <row r="63" spans="1:45" s="236" customFormat="1" ht="92.25" x14ac:dyDescent="0.45">
      <c r="A63" s="316" t="str">
        <f>'2 (цены с НДС)'!A43</f>
        <v>1.2.2.1.21</v>
      </c>
      <c r="B63" s="916" t="str">
        <f>'2 (цены с НДС)'!B43</f>
        <v>Прокладка КЛ-0,4кВ от ТП-2747 до ВРУ ж/дома по ул. Часовитина, 21</v>
      </c>
      <c r="C63" s="917" t="str">
        <f>'2 (цены с НДС)'!C43</f>
        <v>J_2021_1.2.2.1.21</v>
      </c>
      <c r="D63" s="433" t="s">
        <v>621</v>
      </c>
      <c r="E63" s="433" t="s">
        <v>621</v>
      </c>
      <c r="F63" s="433" t="s">
        <v>621</v>
      </c>
      <c r="G63" s="433" t="s">
        <v>621</v>
      </c>
      <c r="H63" s="433" t="s">
        <v>621</v>
      </c>
      <c r="I63" s="433" t="s">
        <v>621</v>
      </c>
      <c r="J63" s="433" t="s">
        <v>621</v>
      </c>
      <c r="K63" s="433" t="s">
        <v>621</v>
      </c>
      <c r="L63" s="433" t="s">
        <v>621</v>
      </c>
      <c r="M63" s="433" t="s">
        <v>621</v>
      </c>
      <c r="N63" s="433">
        <v>0</v>
      </c>
      <c r="O63" s="919">
        <v>0.45400000000000001</v>
      </c>
      <c r="P63" s="262" t="s">
        <v>621</v>
      </c>
      <c r="Q63" s="262" t="s">
        <v>621</v>
      </c>
      <c r="R63" s="262" t="s">
        <v>621</v>
      </c>
      <c r="S63" s="262" t="s">
        <v>621</v>
      </c>
      <c r="T63" s="922" t="str">
        <f t="shared" si="1"/>
        <v>нд</v>
      </c>
      <c r="U63" s="262" t="s">
        <v>621</v>
      </c>
      <c r="V63" s="262" t="s">
        <v>621</v>
      </c>
      <c r="W63" s="262" t="s">
        <v>621</v>
      </c>
      <c r="X63" s="262" t="s">
        <v>621</v>
      </c>
      <c r="Y63" s="262" t="s">
        <v>621</v>
      </c>
      <c r="Z63" s="262" t="s">
        <v>621</v>
      </c>
      <c r="AA63" s="262" t="s">
        <v>621</v>
      </c>
      <c r="AB63" s="262" t="s">
        <v>621</v>
      </c>
      <c r="AC63" s="262" t="s">
        <v>621</v>
      </c>
      <c r="AD63" s="262" t="s">
        <v>621</v>
      </c>
      <c r="AE63" s="262" t="s">
        <v>621</v>
      </c>
      <c r="AF63" s="262" t="s">
        <v>621</v>
      </c>
      <c r="AG63" s="262" t="s">
        <v>621</v>
      </c>
      <c r="AH63" s="262" t="s">
        <v>621</v>
      </c>
      <c r="AI63" s="262" t="s">
        <v>621</v>
      </c>
      <c r="AJ63" s="262" t="s">
        <v>621</v>
      </c>
      <c r="AK63" s="262" t="s">
        <v>621</v>
      </c>
      <c r="AL63" s="262" t="s">
        <v>621</v>
      </c>
      <c r="AM63" s="262" t="s">
        <v>621</v>
      </c>
      <c r="AN63" s="262" t="s">
        <v>621</v>
      </c>
      <c r="AO63" s="262" t="s">
        <v>621</v>
      </c>
      <c r="AP63" s="262" t="s">
        <v>621</v>
      </c>
      <c r="AQ63" s="262" t="s">
        <v>621</v>
      </c>
      <c r="AR63" s="262" t="s">
        <v>621</v>
      </c>
      <c r="AS63" s="262" t="s">
        <v>621</v>
      </c>
    </row>
    <row r="64" spans="1:45" s="236" customFormat="1" ht="92.25" x14ac:dyDescent="0.45">
      <c r="A64" s="316" t="str">
        <f>'2 (цены с НДС)'!A44</f>
        <v>1.2.2.1.22</v>
      </c>
      <c r="B64" s="916" t="str">
        <f>'2 (цены с НДС)'!B44</f>
        <v>Прокладка КЛ-0,4кВ от ТП-2832 до ВРУ ж/дома по ул. Шепеткова, 37</v>
      </c>
      <c r="C64" s="917" t="str">
        <f>'2 (цены с НДС)'!C44</f>
        <v>J_2021_1.2.2.1.22</v>
      </c>
      <c r="D64" s="433" t="s">
        <v>621</v>
      </c>
      <c r="E64" s="433" t="s">
        <v>621</v>
      </c>
      <c r="F64" s="433" t="s">
        <v>621</v>
      </c>
      <c r="G64" s="433" t="s">
        <v>621</v>
      </c>
      <c r="H64" s="433" t="s">
        <v>621</v>
      </c>
      <c r="I64" s="433" t="s">
        <v>621</v>
      </c>
      <c r="J64" s="433" t="s">
        <v>621</v>
      </c>
      <c r="K64" s="433" t="s">
        <v>621</v>
      </c>
      <c r="L64" s="433" t="s">
        <v>621</v>
      </c>
      <c r="M64" s="433" t="s">
        <v>621</v>
      </c>
      <c r="N64" s="433">
        <v>0</v>
      </c>
      <c r="O64" s="919">
        <v>0.36899999999999999</v>
      </c>
      <c r="P64" s="262" t="s">
        <v>621</v>
      </c>
      <c r="Q64" s="262" t="s">
        <v>621</v>
      </c>
      <c r="R64" s="262" t="s">
        <v>621</v>
      </c>
      <c r="S64" s="262" t="s">
        <v>621</v>
      </c>
      <c r="T64" s="922" t="str">
        <f t="shared" si="1"/>
        <v>нд</v>
      </c>
      <c r="U64" s="262" t="s">
        <v>621</v>
      </c>
      <c r="V64" s="262" t="s">
        <v>621</v>
      </c>
      <c r="W64" s="262" t="s">
        <v>621</v>
      </c>
      <c r="X64" s="262" t="s">
        <v>621</v>
      </c>
      <c r="Y64" s="262" t="s">
        <v>621</v>
      </c>
      <c r="Z64" s="262" t="s">
        <v>621</v>
      </c>
      <c r="AA64" s="262" t="s">
        <v>621</v>
      </c>
      <c r="AB64" s="262" t="s">
        <v>621</v>
      </c>
      <c r="AC64" s="262" t="s">
        <v>621</v>
      </c>
      <c r="AD64" s="262" t="s">
        <v>621</v>
      </c>
      <c r="AE64" s="262" t="s">
        <v>621</v>
      </c>
      <c r="AF64" s="262" t="s">
        <v>621</v>
      </c>
      <c r="AG64" s="262" t="s">
        <v>621</v>
      </c>
      <c r="AH64" s="262" t="s">
        <v>621</v>
      </c>
      <c r="AI64" s="262" t="s">
        <v>621</v>
      </c>
      <c r="AJ64" s="262" t="s">
        <v>621</v>
      </c>
      <c r="AK64" s="262" t="s">
        <v>621</v>
      </c>
      <c r="AL64" s="262" t="s">
        <v>621</v>
      </c>
      <c r="AM64" s="262" t="s">
        <v>621</v>
      </c>
      <c r="AN64" s="262" t="s">
        <v>621</v>
      </c>
      <c r="AO64" s="262" t="s">
        <v>621</v>
      </c>
      <c r="AP64" s="262" t="s">
        <v>621</v>
      </c>
      <c r="AQ64" s="262" t="s">
        <v>621</v>
      </c>
      <c r="AR64" s="262" t="s">
        <v>621</v>
      </c>
      <c r="AS64" s="262" t="s">
        <v>621</v>
      </c>
    </row>
    <row r="65" spans="1:45" s="236" customFormat="1" ht="92.25" x14ac:dyDescent="0.45">
      <c r="A65" s="316" t="str">
        <f>'2 (цены с НДС)'!A45</f>
        <v>1.2.2.1.23</v>
      </c>
      <c r="B65" s="916" t="str">
        <f>'2 (цены с НДС)'!B45</f>
        <v>Прокладка КЛ-0,4кВ от ТП-2851 до ВРУ ж/домов по ул. Луговая, 51, 53</v>
      </c>
      <c r="C65" s="917" t="str">
        <f>'2 (цены с НДС)'!C45</f>
        <v>J_2021_1.2.2.1.23</v>
      </c>
      <c r="D65" s="433" t="s">
        <v>621</v>
      </c>
      <c r="E65" s="433" t="s">
        <v>621</v>
      </c>
      <c r="F65" s="433" t="s">
        <v>621</v>
      </c>
      <c r="G65" s="433" t="s">
        <v>621</v>
      </c>
      <c r="H65" s="433" t="s">
        <v>621</v>
      </c>
      <c r="I65" s="433" t="s">
        <v>621</v>
      </c>
      <c r="J65" s="433" t="s">
        <v>621</v>
      </c>
      <c r="K65" s="433" t="s">
        <v>621</v>
      </c>
      <c r="L65" s="433" t="s">
        <v>621</v>
      </c>
      <c r="M65" s="433" t="s">
        <v>621</v>
      </c>
      <c r="N65" s="433">
        <v>0</v>
      </c>
      <c r="O65" s="919">
        <v>1.032</v>
      </c>
      <c r="P65" s="262" t="s">
        <v>621</v>
      </c>
      <c r="Q65" s="262" t="s">
        <v>621</v>
      </c>
      <c r="R65" s="262" t="s">
        <v>621</v>
      </c>
      <c r="S65" s="262" t="s">
        <v>621</v>
      </c>
      <c r="T65" s="922" t="str">
        <f t="shared" si="1"/>
        <v>нд</v>
      </c>
      <c r="U65" s="262" t="s">
        <v>621</v>
      </c>
      <c r="V65" s="262" t="s">
        <v>621</v>
      </c>
      <c r="W65" s="262" t="s">
        <v>621</v>
      </c>
      <c r="X65" s="262" t="s">
        <v>621</v>
      </c>
      <c r="Y65" s="262" t="s">
        <v>621</v>
      </c>
      <c r="Z65" s="262" t="s">
        <v>621</v>
      </c>
      <c r="AA65" s="262" t="s">
        <v>621</v>
      </c>
      <c r="AB65" s="262" t="s">
        <v>621</v>
      </c>
      <c r="AC65" s="262" t="s">
        <v>621</v>
      </c>
      <c r="AD65" s="262" t="s">
        <v>621</v>
      </c>
      <c r="AE65" s="262" t="s">
        <v>621</v>
      </c>
      <c r="AF65" s="262" t="s">
        <v>621</v>
      </c>
      <c r="AG65" s="262" t="s">
        <v>621</v>
      </c>
      <c r="AH65" s="262" t="s">
        <v>621</v>
      </c>
      <c r="AI65" s="262" t="s">
        <v>621</v>
      </c>
      <c r="AJ65" s="262" t="s">
        <v>621</v>
      </c>
      <c r="AK65" s="262" t="s">
        <v>621</v>
      </c>
      <c r="AL65" s="262" t="s">
        <v>621</v>
      </c>
      <c r="AM65" s="262" t="s">
        <v>621</v>
      </c>
      <c r="AN65" s="262" t="s">
        <v>621</v>
      </c>
      <c r="AO65" s="262" t="s">
        <v>621</v>
      </c>
      <c r="AP65" s="262" t="s">
        <v>621</v>
      </c>
      <c r="AQ65" s="262" t="s">
        <v>621</v>
      </c>
      <c r="AR65" s="262" t="s">
        <v>621</v>
      </c>
      <c r="AS65" s="262" t="s">
        <v>621</v>
      </c>
    </row>
    <row r="66" spans="1:45" s="236" customFormat="1" ht="92.25" x14ac:dyDescent="0.45">
      <c r="A66" s="316" t="str">
        <f>'2 (цены с НДС)'!A46</f>
        <v>1.2.2.1.24</v>
      </c>
      <c r="B66" s="916" t="str">
        <f>'2 (цены с НДС)'!B46</f>
        <v>Прокладка КЛ-0,4кВ от ТП-2951 до ВРУ ж/дома по ул. Борисенко, 94</v>
      </c>
      <c r="C66" s="917" t="str">
        <f>'2 (цены с НДС)'!C46</f>
        <v>J_2021_1.2.2.1.24</v>
      </c>
      <c r="D66" s="433" t="s">
        <v>621</v>
      </c>
      <c r="E66" s="433" t="s">
        <v>621</v>
      </c>
      <c r="F66" s="433" t="s">
        <v>621</v>
      </c>
      <c r="G66" s="433" t="s">
        <v>621</v>
      </c>
      <c r="H66" s="433" t="s">
        <v>621</v>
      </c>
      <c r="I66" s="433" t="s">
        <v>621</v>
      </c>
      <c r="J66" s="433" t="s">
        <v>621</v>
      </c>
      <c r="K66" s="433" t="s">
        <v>621</v>
      </c>
      <c r="L66" s="433" t="s">
        <v>621</v>
      </c>
      <c r="M66" s="433" t="s">
        <v>621</v>
      </c>
      <c r="N66" s="433">
        <v>0</v>
      </c>
      <c r="O66" s="919">
        <v>0.41299999999999998</v>
      </c>
      <c r="P66" s="262" t="s">
        <v>621</v>
      </c>
      <c r="Q66" s="262" t="s">
        <v>621</v>
      </c>
      <c r="R66" s="262" t="s">
        <v>621</v>
      </c>
      <c r="S66" s="262" t="s">
        <v>621</v>
      </c>
      <c r="T66" s="922" t="str">
        <f t="shared" si="1"/>
        <v>нд</v>
      </c>
      <c r="U66" s="262" t="s">
        <v>621</v>
      </c>
      <c r="V66" s="262" t="s">
        <v>621</v>
      </c>
      <c r="W66" s="262" t="s">
        <v>621</v>
      </c>
      <c r="X66" s="262" t="s">
        <v>621</v>
      </c>
      <c r="Y66" s="262" t="s">
        <v>621</v>
      </c>
      <c r="Z66" s="262" t="s">
        <v>621</v>
      </c>
      <c r="AA66" s="262" t="s">
        <v>621</v>
      </c>
      <c r="AB66" s="262" t="s">
        <v>621</v>
      </c>
      <c r="AC66" s="262" t="s">
        <v>621</v>
      </c>
      <c r="AD66" s="262" t="s">
        <v>621</v>
      </c>
      <c r="AE66" s="262" t="s">
        <v>621</v>
      </c>
      <c r="AF66" s="262" t="s">
        <v>621</v>
      </c>
      <c r="AG66" s="262" t="s">
        <v>621</v>
      </c>
      <c r="AH66" s="262" t="s">
        <v>621</v>
      </c>
      <c r="AI66" s="262" t="s">
        <v>621</v>
      </c>
      <c r="AJ66" s="262" t="s">
        <v>621</v>
      </c>
      <c r="AK66" s="262" t="s">
        <v>621</v>
      </c>
      <c r="AL66" s="262" t="s">
        <v>621</v>
      </c>
      <c r="AM66" s="262" t="s">
        <v>621</v>
      </c>
      <c r="AN66" s="262" t="s">
        <v>621</v>
      </c>
      <c r="AO66" s="262" t="s">
        <v>621</v>
      </c>
      <c r="AP66" s="262" t="s">
        <v>621</v>
      </c>
      <c r="AQ66" s="262" t="s">
        <v>621</v>
      </c>
      <c r="AR66" s="262" t="s">
        <v>621</v>
      </c>
      <c r="AS66" s="262" t="s">
        <v>621</v>
      </c>
    </row>
    <row r="67" spans="1:45" s="236" customFormat="1" ht="92.25" x14ac:dyDescent="0.45">
      <c r="A67" s="662" t="s">
        <v>546</v>
      </c>
      <c r="B67" s="663" t="s">
        <v>739</v>
      </c>
      <c r="C67" s="624" t="s">
        <v>621</v>
      </c>
      <c r="D67" s="624" t="s">
        <v>621</v>
      </c>
      <c r="E67" s="624" t="s">
        <v>621</v>
      </c>
      <c r="F67" s="624" t="s">
        <v>621</v>
      </c>
      <c r="G67" s="624" t="s">
        <v>621</v>
      </c>
      <c r="H67" s="624" t="s">
        <v>621</v>
      </c>
      <c r="I67" s="624" t="s">
        <v>621</v>
      </c>
      <c r="J67" s="624" t="s">
        <v>621</v>
      </c>
      <c r="K67" s="624" t="s">
        <v>621</v>
      </c>
      <c r="L67" s="624" t="s">
        <v>621</v>
      </c>
      <c r="M67" s="746" t="str">
        <f t="shared" si="2"/>
        <v>нд</v>
      </c>
      <c r="N67" s="624" t="s">
        <v>621</v>
      </c>
      <c r="O67" s="624" t="s">
        <v>621</v>
      </c>
      <c r="P67" s="624" t="s">
        <v>621</v>
      </c>
      <c r="Q67" s="624" t="s">
        <v>621</v>
      </c>
      <c r="R67" s="624" t="s">
        <v>621</v>
      </c>
      <c r="S67" s="624" t="s">
        <v>621</v>
      </c>
      <c r="T67" s="624">
        <f t="shared" si="1"/>
        <v>2762</v>
      </c>
      <c r="U67" s="624">
        <f>U68</f>
        <v>2762</v>
      </c>
      <c r="V67" s="624" t="s">
        <v>621</v>
      </c>
      <c r="W67" s="624" t="s">
        <v>621</v>
      </c>
      <c r="X67" s="624" t="s">
        <v>621</v>
      </c>
      <c r="Y67" s="624" t="s">
        <v>621</v>
      </c>
      <c r="Z67" s="624" t="s">
        <v>621</v>
      </c>
      <c r="AA67" s="624" t="s">
        <v>621</v>
      </c>
      <c r="AB67" s="624" t="s">
        <v>621</v>
      </c>
      <c r="AC67" s="624" t="s">
        <v>621</v>
      </c>
      <c r="AD67" s="624" t="s">
        <v>621</v>
      </c>
      <c r="AE67" s="624" t="s">
        <v>621</v>
      </c>
      <c r="AF67" s="624" t="s">
        <v>621</v>
      </c>
      <c r="AG67" s="624" t="s">
        <v>621</v>
      </c>
      <c r="AH67" s="624" t="s">
        <v>621</v>
      </c>
      <c r="AI67" s="624" t="s">
        <v>621</v>
      </c>
      <c r="AJ67" s="624" t="s">
        <v>621</v>
      </c>
      <c r="AK67" s="624" t="s">
        <v>621</v>
      </c>
      <c r="AL67" s="624" t="s">
        <v>621</v>
      </c>
      <c r="AM67" s="624" t="s">
        <v>621</v>
      </c>
      <c r="AN67" s="624" t="s">
        <v>621</v>
      </c>
      <c r="AO67" s="624" t="s">
        <v>621</v>
      </c>
      <c r="AP67" s="624" t="s">
        <v>621</v>
      </c>
      <c r="AQ67" s="624" t="s">
        <v>621</v>
      </c>
      <c r="AR67" s="624" t="s">
        <v>621</v>
      </c>
      <c r="AS67" s="624" t="s">
        <v>621</v>
      </c>
    </row>
    <row r="68" spans="1:45" s="236" customFormat="1" ht="153.75" customHeight="1" x14ac:dyDescent="0.45">
      <c r="A68" s="657" t="s">
        <v>599</v>
      </c>
      <c r="B68" s="654" t="s">
        <v>1732</v>
      </c>
      <c r="C68" s="625" t="str">
        <f t="shared" ref="C68:C76" si="3">CONCATENATE("J","_",2021,"_",A68)</f>
        <v>J_2021_1.2.3.1</v>
      </c>
      <c r="D68" s="625" t="s">
        <v>621</v>
      </c>
      <c r="E68" s="625" t="s">
        <v>621</v>
      </c>
      <c r="F68" s="625" t="s">
        <v>621</v>
      </c>
      <c r="G68" s="625" t="s">
        <v>621</v>
      </c>
      <c r="H68" s="625" t="s">
        <v>621</v>
      </c>
      <c r="I68" s="625" t="s">
        <v>621</v>
      </c>
      <c r="J68" s="625" t="s">
        <v>621</v>
      </c>
      <c r="K68" s="625" t="s">
        <v>621</v>
      </c>
      <c r="L68" s="625" t="s">
        <v>621</v>
      </c>
      <c r="M68" s="262" t="str">
        <f t="shared" si="2"/>
        <v>нд</v>
      </c>
      <c r="N68" s="625" t="s">
        <v>621</v>
      </c>
      <c r="O68" s="625" t="s">
        <v>621</v>
      </c>
      <c r="P68" s="625" t="s">
        <v>621</v>
      </c>
      <c r="Q68" s="625" t="s">
        <v>621</v>
      </c>
      <c r="R68" s="625" t="s">
        <v>621</v>
      </c>
      <c r="S68" s="625" t="s">
        <v>621</v>
      </c>
      <c r="T68" s="922">
        <f t="shared" si="1"/>
        <v>2762</v>
      </c>
      <c r="U68" s="625">
        <v>2762</v>
      </c>
      <c r="V68" s="625" t="s">
        <v>621</v>
      </c>
      <c r="W68" s="625" t="s">
        <v>621</v>
      </c>
      <c r="X68" s="625" t="s">
        <v>621</v>
      </c>
      <c r="Y68" s="625" t="s">
        <v>621</v>
      </c>
      <c r="Z68" s="625" t="s">
        <v>621</v>
      </c>
      <c r="AA68" s="625" t="s">
        <v>621</v>
      </c>
      <c r="AB68" s="625" t="s">
        <v>621</v>
      </c>
      <c r="AC68" s="625" t="s">
        <v>621</v>
      </c>
      <c r="AD68" s="625" t="s">
        <v>621</v>
      </c>
      <c r="AE68" s="625" t="s">
        <v>621</v>
      </c>
      <c r="AF68" s="625" t="s">
        <v>621</v>
      </c>
      <c r="AG68" s="625" t="s">
        <v>621</v>
      </c>
      <c r="AH68" s="625" t="s">
        <v>621</v>
      </c>
      <c r="AI68" s="625" t="s">
        <v>621</v>
      </c>
      <c r="AJ68" s="625" t="s">
        <v>621</v>
      </c>
      <c r="AK68" s="625" t="s">
        <v>621</v>
      </c>
      <c r="AL68" s="625" t="s">
        <v>621</v>
      </c>
      <c r="AM68" s="625" t="s">
        <v>621</v>
      </c>
      <c r="AN68" s="625" t="s">
        <v>621</v>
      </c>
      <c r="AO68" s="625" t="s">
        <v>621</v>
      </c>
      <c r="AP68" s="625" t="s">
        <v>621</v>
      </c>
      <c r="AQ68" s="625" t="s">
        <v>621</v>
      </c>
      <c r="AR68" s="625" t="s">
        <v>621</v>
      </c>
      <c r="AS68" s="625" t="s">
        <v>621</v>
      </c>
    </row>
    <row r="69" spans="1:45" s="236" customFormat="1" ht="92.25" hidden="1" x14ac:dyDescent="0.45">
      <c r="A69" s="657" t="s">
        <v>600</v>
      </c>
      <c r="B69" s="654" t="s">
        <v>698</v>
      </c>
      <c r="C69" s="625" t="str">
        <f t="shared" si="3"/>
        <v>J_2021_1.2.3.2</v>
      </c>
      <c r="D69" s="625"/>
      <c r="E69" s="625"/>
      <c r="F69" s="625"/>
      <c r="G69" s="625"/>
      <c r="H69" s="625"/>
      <c r="I69" s="625"/>
      <c r="J69" s="625"/>
      <c r="K69" s="625"/>
      <c r="L69" s="625"/>
      <c r="M69" s="262">
        <f t="shared" si="2"/>
        <v>0</v>
      </c>
      <c r="N69" s="625"/>
      <c r="O69" s="625"/>
      <c r="P69" s="625"/>
      <c r="Q69" s="625"/>
      <c r="R69" s="625"/>
      <c r="S69" s="625"/>
      <c r="T69" s="922">
        <f t="shared" si="1"/>
        <v>0</v>
      </c>
      <c r="U69" s="625"/>
      <c r="V69" s="625"/>
      <c r="W69" s="625"/>
      <c r="X69" s="625"/>
      <c r="Y69" s="625"/>
      <c r="Z69" s="625"/>
      <c r="AA69" s="625"/>
      <c r="AB69" s="625"/>
      <c r="AC69" s="625"/>
      <c r="AD69" s="625"/>
      <c r="AE69" s="625"/>
      <c r="AF69" s="625"/>
      <c r="AG69" s="625"/>
      <c r="AH69" s="625"/>
      <c r="AI69" s="625"/>
      <c r="AJ69" s="625"/>
      <c r="AK69" s="625"/>
      <c r="AL69" s="625"/>
      <c r="AM69" s="625"/>
      <c r="AN69" s="625"/>
      <c r="AO69" s="625"/>
      <c r="AP69" s="625"/>
      <c r="AQ69" s="625"/>
      <c r="AR69" s="625"/>
      <c r="AS69" s="625"/>
    </row>
    <row r="70" spans="1:45" s="236" customFormat="1" ht="92.25" hidden="1" x14ac:dyDescent="0.45">
      <c r="A70" s="657" t="s">
        <v>601</v>
      </c>
      <c r="B70" s="654" t="s">
        <v>699</v>
      </c>
      <c r="C70" s="625" t="str">
        <f t="shared" si="3"/>
        <v>J_2021_1.2.3.3</v>
      </c>
      <c r="D70" s="625"/>
      <c r="E70" s="625"/>
      <c r="F70" s="625"/>
      <c r="G70" s="625"/>
      <c r="H70" s="625"/>
      <c r="I70" s="625"/>
      <c r="J70" s="625"/>
      <c r="K70" s="625"/>
      <c r="L70" s="625"/>
      <c r="M70" s="262">
        <f t="shared" si="2"/>
        <v>0</v>
      </c>
      <c r="N70" s="625"/>
      <c r="O70" s="625"/>
      <c r="P70" s="625"/>
      <c r="Q70" s="625"/>
      <c r="R70" s="625"/>
      <c r="S70" s="625"/>
      <c r="T70" s="922">
        <f t="shared" si="1"/>
        <v>0</v>
      </c>
      <c r="U70" s="625"/>
      <c r="V70" s="625"/>
      <c r="W70" s="625"/>
      <c r="X70" s="625"/>
      <c r="Y70" s="625"/>
      <c r="Z70" s="625"/>
      <c r="AA70" s="625"/>
      <c r="AB70" s="625"/>
      <c r="AC70" s="625"/>
      <c r="AD70" s="625"/>
      <c r="AE70" s="625"/>
      <c r="AF70" s="625"/>
      <c r="AG70" s="625"/>
      <c r="AH70" s="625"/>
      <c r="AI70" s="625"/>
      <c r="AJ70" s="625"/>
      <c r="AK70" s="625"/>
      <c r="AL70" s="625"/>
      <c r="AM70" s="625"/>
      <c r="AN70" s="625"/>
      <c r="AO70" s="625"/>
      <c r="AP70" s="625"/>
      <c r="AQ70" s="625"/>
      <c r="AR70" s="625"/>
      <c r="AS70" s="625"/>
    </row>
    <row r="71" spans="1:45" s="236" customFormat="1" ht="92.25" hidden="1" x14ac:dyDescent="0.45">
      <c r="A71" s="657" t="s">
        <v>602</v>
      </c>
      <c r="B71" s="654" t="s">
        <v>700</v>
      </c>
      <c r="C71" s="625" t="str">
        <f t="shared" si="3"/>
        <v>J_2021_1.2.3.4</v>
      </c>
      <c r="D71" s="625"/>
      <c r="E71" s="625"/>
      <c r="F71" s="625"/>
      <c r="G71" s="625"/>
      <c r="H71" s="625"/>
      <c r="I71" s="625"/>
      <c r="J71" s="625"/>
      <c r="K71" s="625"/>
      <c r="L71" s="625"/>
      <c r="M71" s="262">
        <f t="shared" si="2"/>
        <v>0</v>
      </c>
      <c r="N71" s="625"/>
      <c r="O71" s="625"/>
      <c r="P71" s="625"/>
      <c r="Q71" s="625"/>
      <c r="R71" s="625"/>
      <c r="S71" s="625"/>
      <c r="T71" s="922">
        <f t="shared" si="1"/>
        <v>0</v>
      </c>
      <c r="U71" s="625"/>
      <c r="V71" s="625"/>
      <c r="W71" s="625"/>
      <c r="X71" s="625"/>
      <c r="Y71" s="625"/>
      <c r="Z71" s="625"/>
      <c r="AA71" s="625"/>
      <c r="AB71" s="625"/>
      <c r="AC71" s="625"/>
      <c r="AD71" s="625"/>
      <c r="AE71" s="625"/>
      <c r="AF71" s="625"/>
      <c r="AG71" s="625"/>
      <c r="AH71" s="625"/>
      <c r="AI71" s="625"/>
      <c r="AJ71" s="625"/>
      <c r="AK71" s="625"/>
      <c r="AL71" s="625"/>
      <c r="AM71" s="625"/>
      <c r="AN71" s="625"/>
      <c r="AO71" s="625"/>
      <c r="AP71" s="625"/>
      <c r="AQ71" s="625"/>
      <c r="AR71" s="625"/>
      <c r="AS71" s="625"/>
    </row>
    <row r="72" spans="1:45" s="236" customFormat="1" ht="123" hidden="1" x14ac:dyDescent="0.45">
      <c r="A72" s="657" t="s">
        <v>718</v>
      </c>
      <c r="B72" s="654" t="s">
        <v>701</v>
      </c>
      <c r="C72" s="625" t="str">
        <f t="shared" si="3"/>
        <v>J_2021_1.2.3.5</v>
      </c>
      <c r="D72" s="625"/>
      <c r="E72" s="625"/>
      <c r="F72" s="625"/>
      <c r="G72" s="625"/>
      <c r="H72" s="625"/>
      <c r="I72" s="625"/>
      <c r="J72" s="625"/>
      <c r="K72" s="625"/>
      <c r="L72" s="625"/>
      <c r="M72" s="262">
        <f t="shared" si="2"/>
        <v>0</v>
      </c>
      <c r="N72" s="625"/>
      <c r="O72" s="625"/>
      <c r="P72" s="625"/>
      <c r="Q72" s="625"/>
      <c r="R72" s="625"/>
      <c r="S72" s="625"/>
      <c r="T72" s="922">
        <f t="shared" si="1"/>
        <v>0</v>
      </c>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row>
    <row r="73" spans="1:45" s="236" customFormat="1" ht="123" hidden="1" x14ac:dyDescent="0.45">
      <c r="A73" s="657" t="s">
        <v>719</v>
      </c>
      <c r="B73" s="654" t="s">
        <v>702</v>
      </c>
      <c r="C73" s="625" t="str">
        <f t="shared" si="3"/>
        <v>J_2021_1.2.3.6</v>
      </c>
      <c r="D73" s="625"/>
      <c r="E73" s="625"/>
      <c r="F73" s="625"/>
      <c r="G73" s="625"/>
      <c r="H73" s="625"/>
      <c r="I73" s="625"/>
      <c r="J73" s="625"/>
      <c r="K73" s="625"/>
      <c r="L73" s="625"/>
      <c r="M73" s="262">
        <f t="shared" si="2"/>
        <v>0</v>
      </c>
      <c r="N73" s="625"/>
      <c r="O73" s="625"/>
      <c r="P73" s="625"/>
      <c r="Q73" s="625"/>
      <c r="R73" s="625"/>
      <c r="S73" s="625"/>
      <c r="T73" s="922">
        <f t="shared" si="1"/>
        <v>0</v>
      </c>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row>
    <row r="74" spans="1:45" s="236" customFormat="1" ht="123" hidden="1" x14ac:dyDescent="0.45">
      <c r="A74" s="657" t="s">
        <v>720</v>
      </c>
      <c r="B74" s="654" t="s">
        <v>703</v>
      </c>
      <c r="C74" s="625" t="str">
        <f t="shared" si="3"/>
        <v>J_2021_1.2.3.7</v>
      </c>
      <c r="D74" s="625"/>
      <c r="E74" s="625"/>
      <c r="F74" s="625"/>
      <c r="G74" s="625"/>
      <c r="H74" s="625"/>
      <c r="I74" s="625"/>
      <c r="J74" s="625"/>
      <c r="K74" s="625"/>
      <c r="L74" s="625"/>
      <c r="M74" s="262">
        <f t="shared" si="2"/>
        <v>0</v>
      </c>
      <c r="N74" s="625"/>
      <c r="O74" s="625"/>
      <c r="P74" s="625"/>
      <c r="Q74" s="625"/>
      <c r="R74" s="625"/>
      <c r="S74" s="625"/>
      <c r="T74" s="922">
        <f t="shared" si="1"/>
        <v>0</v>
      </c>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row>
    <row r="75" spans="1:45" s="236" customFormat="1" ht="123" hidden="1" x14ac:dyDescent="0.45">
      <c r="A75" s="657" t="s">
        <v>721</v>
      </c>
      <c r="B75" s="654" t="s">
        <v>704</v>
      </c>
      <c r="C75" s="625" t="str">
        <f t="shared" si="3"/>
        <v>J_2021_1.2.3.8</v>
      </c>
      <c r="D75" s="625"/>
      <c r="E75" s="625"/>
      <c r="F75" s="625"/>
      <c r="G75" s="625"/>
      <c r="H75" s="625"/>
      <c r="I75" s="625"/>
      <c r="J75" s="625"/>
      <c r="K75" s="625"/>
      <c r="L75" s="625"/>
      <c r="M75" s="262">
        <f t="shared" si="2"/>
        <v>0</v>
      </c>
      <c r="N75" s="625"/>
      <c r="O75" s="625"/>
      <c r="P75" s="625"/>
      <c r="Q75" s="625"/>
      <c r="R75" s="625"/>
      <c r="S75" s="625"/>
      <c r="T75" s="922">
        <f t="shared" si="1"/>
        <v>0</v>
      </c>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row>
    <row r="76" spans="1:45" s="236" customFormat="1" ht="82.5" customHeight="1" x14ac:dyDescent="0.45">
      <c r="A76" s="664" t="s">
        <v>947</v>
      </c>
      <c r="B76" s="665" t="s">
        <v>948</v>
      </c>
      <c r="C76" s="625" t="str">
        <f t="shared" si="3"/>
        <v>J_2021_1.2.3.1.1</v>
      </c>
      <c r="D76" s="625" t="s">
        <v>621</v>
      </c>
      <c r="E76" s="625" t="s">
        <v>621</v>
      </c>
      <c r="F76" s="625" t="s">
        <v>621</v>
      </c>
      <c r="G76" s="625" t="s">
        <v>621</v>
      </c>
      <c r="H76" s="625" t="s">
        <v>621</v>
      </c>
      <c r="I76" s="625" t="s">
        <v>621</v>
      </c>
      <c r="J76" s="625" t="s">
        <v>621</v>
      </c>
      <c r="K76" s="625" t="s">
        <v>621</v>
      </c>
      <c r="L76" s="625" t="s">
        <v>621</v>
      </c>
      <c r="M76" s="262" t="str">
        <f t="shared" si="2"/>
        <v>нд</v>
      </c>
      <c r="N76" s="625" t="s">
        <v>621</v>
      </c>
      <c r="O76" s="625" t="s">
        <v>621</v>
      </c>
      <c r="P76" s="625" t="s">
        <v>621</v>
      </c>
      <c r="Q76" s="625" t="s">
        <v>621</v>
      </c>
      <c r="R76" s="625" t="s">
        <v>621</v>
      </c>
      <c r="S76" s="625" t="s">
        <v>621</v>
      </c>
      <c r="T76" s="922">
        <f t="shared" si="1"/>
        <v>2762</v>
      </c>
      <c r="U76" s="625">
        <v>2762</v>
      </c>
      <c r="V76" s="625" t="s">
        <v>621</v>
      </c>
      <c r="W76" s="625" t="s">
        <v>621</v>
      </c>
      <c r="X76" s="625" t="s">
        <v>621</v>
      </c>
      <c r="Y76" s="625" t="s">
        <v>621</v>
      </c>
      <c r="Z76" s="625" t="s">
        <v>621</v>
      </c>
      <c r="AA76" s="625" t="s">
        <v>621</v>
      </c>
      <c r="AB76" s="625" t="s">
        <v>621</v>
      </c>
      <c r="AC76" s="625" t="s">
        <v>621</v>
      </c>
      <c r="AD76" s="625" t="s">
        <v>621</v>
      </c>
      <c r="AE76" s="625" t="s">
        <v>621</v>
      </c>
      <c r="AF76" s="625" t="s">
        <v>621</v>
      </c>
      <c r="AG76" s="625" t="s">
        <v>621</v>
      </c>
      <c r="AH76" s="625" t="s">
        <v>621</v>
      </c>
      <c r="AI76" s="625" t="s">
        <v>621</v>
      </c>
      <c r="AJ76" s="625" t="s">
        <v>621</v>
      </c>
      <c r="AK76" s="625" t="s">
        <v>621</v>
      </c>
      <c r="AL76" s="625" t="s">
        <v>621</v>
      </c>
      <c r="AM76" s="625" t="s">
        <v>621</v>
      </c>
      <c r="AN76" s="625" t="s">
        <v>621</v>
      </c>
      <c r="AO76" s="625" t="s">
        <v>621</v>
      </c>
      <c r="AP76" s="625" t="s">
        <v>621</v>
      </c>
      <c r="AQ76" s="625" t="s">
        <v>621</v>
      </c>
      <c r="AR76" s="625" t="s">
        <v>621</v>
      </c>
      <c r="AS76" s="625" t="s">
        <v>621</v>
      </c>
    </row>
    <row r="77" spans="1:45" s="347" customFormat="1" ht="135" customHeight="1" x14ac:dyDescent="0.25">
      <c r="A77" s="540" t="s">
        <v>547</v>
      </c>
      <c r="B77" s="541" t="s">
        <v>705</v>
      </c>
      <c r="C77" s="746" t="s">
        <v>621</v>
      </c>
      <c r="D77" s="746" t="s">
        <v>621</v>
      </c>
      <c r="E77" s="746" t="s">
        <v>621</v>
      </c>
      <c r="F77" s="746" t="s">
        <v>621</v>
      </c>
      <c r="G77" s="746" t="s">
        <v>621</v>
      </c>
      <c r="H77" s="746" t="s">
        <v>621</v>
      </c>
      <c r="I77" s="746" t="s">
        <v>621</v>
      </c>
      <c r="J77" s="746">
        <f>J79</f>
        <v>0.8</v>
      </c>
      <c r="K77" s="746">
        <f>K78</f>
        <v>0</v>
      </c>
      <c r="L77" s="746">
        <f>L79</f>
        <v>15</v>
      </c>
      <c r="M77" s="746">
        <f>M78</f>
        <v>18</v>
      </c>
      <c r="N77" s="746" t="s">
        <v>621</v>
      </c>
      <c r="O77" s="746" t="s">
        <v>621</v>
      </c>
      <c r="P77" s="746" t="s">
        <v>621</v>
      </c>
      <c r="Q77" s="746" t="s">
        <v>621</v>
      </c>
      <c r="R77" s="746" t="s">
        <v>621</v>
      </c>
      <c r="S77" s="746" t="s">
        <v>621</v>
      </c>
      <c r="T77" s="746" t="s">
        <v>621</v>
      </c>
      <c r="U77" s="746" t="s">
        <v>621</v>
      </c>
      <c r="V77" s="746" t="s">
        <v>621</v>
      </c>
      <c r="W77" s="746" t="s">
        <v>621</v>
      </c>
      <c r="X77" s="746" t="s">
        <v>621</v>
      </c>
      <c r="Y77" s="746" t="s">
        <v>621</v>
      </c>
      <c r="Z77" s="746" t="s">
        <v>621</v>
      </c>
      <c r="AA77" s="746" t="s">
        <v>621</v>
      </c>
      <c r="AB77" s="746" t="s">
        <v>621</v>
      </c>
      <c r="AC77" s="746" t="s">
        <v>621</v>
      </c>
      <c r="AD77" s="746" t="s">
        <v>621</v>
      </c>
      <c r="AE77" s="746" t="s">
        <v>621</v>
      </c>
      <c r="AF77" s="746" t="s">
        <v>621</v>
      </c>
      <c r="AG77" s="746" t="s">
        <v>621</v>
      </c>
      <c r="AH77" s="746" t="s">
        <v>621</v>
      </c>
      <c r="AI77" s="746" t="s">
        <v>621</v>
      </c>
      <c r="AJ77" s="746" t="s">
        <v>621</v>
      </c>
      <c r="AK77" s="746" t="s">
        <v>621</v>
      </c>
      <c r="AL77" s="746" t="s">
        <v>621</v>
      </c>
      <c r="AM77" s="746" t="s">
        <v>621</v>
      </c>
      <c r="AN77" s="746" t="s">
        <v>621</v>
      </c>
      <c r="AO77" s="746" t="s">
        <v>621</v>
      </c>
      <c r="AP77" s="746" t="s">
        <v>621</v>
      </c>
      <c r="AQ77" s="746" t="s">
        <v>621</v>
      </c>
      <c r="AR77" s="746" t="s">
        <v>621</v>
      </c>
      <c r="AS77" s="746" t="s">
        <v>621</v>
      </c>
    </row>
    <row r="78" spans="1:45" s="347" customFormat="1" ht="92.25" x14ac:dyDescent="0.25">
      <c r="A78" s="540" t="s">
        <v>603</v>
      </c>
      <c r="B78" s="541" t="s">
        <v>706</v>
      </c>
      <c r="C78" s="746" t="s">
        <v>621</v>
      </c>
      <c r="D78" s="746" t="s">
        <v>621</v>
      </c>
      <c r="E78" s="746" t="s">
        <v>621</v>
      </c>
      <c r="F78" s="746" t="s">
        <v>621</v>
      </c>
      <c r="G78" s="746" t="s">
        <v>621</v>
      </c>
      <c r="H78" s="746" t="s">
        <v>621</v>
      </c>
      <c r="I78" s="746" t="s">
        <v>621</v>
      </c>
      <c r="J78" s="746">
        <f>J79</f>
        <v>0.8</v>
      </c>
      <c r="K78" s="746">
        <f>K79</f>
        <v>0</v>
      </c>
      <c r="L78" s="746">
        <f>L79</f>
        <v>15</v>
      </c>
      <c r="M78" s="746">
        <f>M79</f>
        <v>18</v>
      </c>
      <c r="N78" s="746" t="s">
        <v>621</v>
      </c>
      <c r="O78" s="746" t="s">
        <v>621</v>
      </c>
      <c r="P78" s="746" t="s">
        <v>621</v>
      </c>
      <c r="Q78" s="746" t="s">
        <v>621</v>
      </c>
      <c r="R78" s="746" t="s">
        <v>621</v>
      </c>
      <c r="S78" s="746" t="s">
        <v>621</v>
      </c>
      <c r="T78" s="746" t="s">
        <v>621</v>
      </c>
      <c r="U78" s="746" t="s">
        <v>621</v>
      </c>
      <c r="V78" s="746" t="s">
        <v>621</v>
      </c>
      <c r="W78" s="746" t="s">
        <v>621</v>
      </c>
      <c r="X78" s="746" t="s">
        <v>621</v>
      </c>
      <c r="Y78" s="746" t="s">
        <v>621</v>
      </c>
      <c r="Z78" s="746" t="s">
        <v>621</v>
      </c>
      <c r="AA78" s="746" t="s">
        <v>621</v>
      </c>
      <c r="AB78" s="746" t="s">
        <v>621</v>
      </c>
      <c r="AC78" s="746" t="s">
        <v>621</v>
      </c>
      <c r="AD78" s="746" t="s">
        <v>621</v>
      </c>
      <c r="AE78" s="746" t="s">
        <v>621</v>
      </c>
      <c r="AF78" s="746" t="s">
        <v>621</v>
      </c>
      <c r="AG78" s="746" t="s">
        <v>621</v>
      </c>
      <c r="AH78" s="746" t="s">
        <v>621</v>
      </c>
      <c r="AI78" s="746" t="s">
        <v>621</v>
      </c>
      <c r="AJ78" s="746" t="s">
        <v>621</v>
      </c>
      <c r="AK78" s="746" t="s">
        <v>621</v>
      </c>
      <c r="AL78" s="746" t="s">
        <v>621</v>
      </c>
      <c r="AM78" s="746" t="s">
        <v>621</v>
      </c>
      <c r="AN78" s="746" t="s">
        <v>621</v>
      </c>
      <c r="AO78" s="746" t="s">
        <v>621</v>
      </c>
      <c r="AP78" s="746" t="s">
        <v>621</v>
      </c>
      <c r="AQ78" s="746" t="s">
        <v>621</v>
      </c>
      <c r="AR78" s="746" t="s">
        <v>621</v>
      </c>
      <c r="AS78" s="746" t="s">
        <v>621</v>
      </c>
    </row>
    <row r="79" spans="1:45" s="347" customFormat="1" ht="135.75" customHeight="1" x14ac:dyDescent="0.25">
      <c r="A79" s="540" t="s">
        <v>604</v>
      </c>
      <c r="B79" s="541" t="s">
        <v>707</v>
      </c>
      <c r="C79" s="746" t="s">
        <v>621</v>
      </c>
      <c r="D79" s="746" t="s">
        <v>621</v>
      </c>
      <c r="E79" s="746" t="s">
        <v>621</v>
      </c>
      <c r="F79" s="746" t="s">
        <v>621</v>
      </c>
      <c r="G79" s="746" t="s">
        <v>621</v>
      </c>
      <c r="H79" s="746" t="s">
        <v>621</v>
      </c>
      <c r="I79" s="746" t="s">
        <v>621</v>
      </c>
      <c r="J79" s="746">
        <f>J80</f>
        <v>0.8</v>
      </c>
      <c r="K79" s="746">
        <f>K80</f>
        <v>0</v>
      </c>
      <c r="L79" s="746">
        <f>L81</f>
        <v>15</v>
      </c>
      <c r="M79" s="746">
        <f>M81</f>
        <v>18</v>
      </c>
      <c r="N79" s="746" t="s">
        <v>621</v>
      </c>
      <c r="O79" s="746" t="s">
        <v>621</v>
      </c>
      <c r="P79" s="746" t="s">
        <v>621</v>
      </c>
      <c r="Q79" s="746" t="s">
        <v>621</v>
      </c>
      <c r="R79" s="746" t="s">
        <v>621</v>
      </c>
      <c r="S79" s="746" t="s">
        <v>621</v>
      </c>
      <c r="T79" s="746" t="s">
        <v>621</v>
      </c>
      <c r="U79" s="746" t="s">
        <v>621</v>
      </c>
      <c r="V79" s="746" t="s">
        <v>621</v>
      </c>
      <c r="W79" s="746" t="s">
        <v>621</v>
      </c>
      <c r="X79" s="746" t="s">
        <v>621</v>
      </c>
      <c r="Y79" s="746" t="s">
        <v>621</v>
      </c>
      <c r="Z79" s="746" t="s">
        <v>621</v>
      </c>
      <c r="AA79" s="746" t="s">
        <v>621</v>
      </c>
      <c r="AB79" s="746" t="s">
        <v>621</v>
      </c>
      <c r="AC79" s="746" t="s">
        <v>621</v>
      </c>
      <c r="AD79" s="746" t="s">
        <v>621</v>
      </c>
      <c r="AE79" s="746" t="s">
        <v>621</v>
      </c>
      <c r="AF79" s="746" t="s">
        <v>621</v>
      </c>
      <c r="AG79" s="746" t="s">
        <v>621</v>
      </c>
      <c r="AH79" s="746" t="s">
        <v>621</v>
      </c>
      <c r="AI79" s="746" t="s">
        <v>621</v>
      </c>
      <c r="AJ79" s="746" t="s">
        <v>621</v>
      </c>
      <c r="AK79" s="746" t="s">
        <v>621</v>
      </c>
      <c r="AL79" s="746" t="s">
        <v>621</v>
      </c>
      <c r="AM79" s="746" t="s">
        <v>621</v>
      </c>
      <c r="AN79" s="746" t="s">
        <v>621</v>
      </c>
      <c r="AO79" s="746" t="s">
        <v>621</v>
      </c>
      <c r="AP79" s="746" t="s">
        <v>621</v>
      </c>
      <c r="AQ79" s="746" t="s">
        <v>621</v>
      </c>
      <c r="AR79" s="746" t="s">
        <v>621</v>
      </c>
      <c r="AS79" s="746" t="s">
        <v>621</v>
      </c>
    </row>
    <row r="80" spans="1:45" s="432" customFormat="1" ht="60.75" customHeight="1" x14ac:dyDescent="0.25">
      <c r="A80" s="316" t="s">
        <v>888</v>
      </c>
      <c r="B80" s="426" t="s">
        <v>866</v>
      </c>
      <c r="C80" s="262" t="str">
        <f>CONCATENATE("J","_",2021,"_",A80)</f>
        <v>J_2021_1.2.4.2.4</v>
      </c>
      <c r="D80" s="262" t="s">
        <v>621</v>
      </c>
      <c r="E80" s="262" t="s">
        <v>621</v>
      </c>
      <c r="F80" s="262" t="s">
        <v>621</v>
      </c>
      <c r="G80" s="262" t="s">
        <v>621</v>
      </c>
      <c r="H80" s="262" t="s">
        <v>621</v>
      </c>
      <c r="I80" s="262" t="s">
        <v>621</v>
      </c>
      <c r="J80" s="262">
        <v>0.8</v>
      </c>
      <c r="K80" s="262">
        <v>0</v>
      </c>
      <c r="L80" s="262" t="s">
        <v>621</v>
      </c>
      <c r="M80" s="262" t="str">
        <f t="shared" si="2"/>
        <v>нд</v>
      </c>
      <c r="N80" s="262" t="s">
        <v>621</v>
      </c>
      <c r="O80" s="262" t="s">
        <v>621</v>
      </c>
      <c r="P80" s="262" t="s">
        <v>621</v>
      </c>
      <c r="Q80" s="262" t="s">
        <v>621</v>
      </c>
      <c r="R80" s="262" t="s">
        <v>621</v>
      </c>
      <c r="S80" s="262" t="s">
        <v>621</v>
      </c>
      <c r="T80" s="262" t="s">
        <v>621</v>
      </c>
      <c r="U80" s="262" t="s">
        <v>621</v>
      </c>
      <c r="V80" s="262" t="s">
        <v>621</v>
      </c>
      <c r="W80" s="262" t="s">
        <v>621</v>
      </c>
      <c r="X80" s="262" t="s">
        <v>621</v>
      </c>
      <c r="Y80" s="262" t="s">
        <v>621</v>
      </c>
      <c r="Z80" s="262" t="s">
        <v>621</v>
      </c>
      <c r="AA80" s="262" t="s">
        <v>621</v>
      </c>
      <c r="AB80" s="262" t="s">
        <v>621</v>
      </c>
      <c r="AC80" s="262" t="s">
        <v>621</v>
      </c>
      <c r="AD80" s="262" t="s">
        <v>621</v>
      </c>
      <c r="AE80" s="262" t="s">
        <v>621</v>
      </c>
      <c r="AF80" s="262" t="s">
        <v>621</v>
      </c>
      <c r="AG80" s="262" t="s">
        <v>621</v>
      </c>
      <c r="AH80" s="262" t="s">
        <v>621</v>
      </c>
      <c r="AI80" s="262" t="s">
        <v>621</v>
      </c>
      <c r="AJ80" s="262" t="s">
        <v>621</v>
      </c>
      <c r="AK80" s="262" t="s">
        <v>621</v>
      </c>
      <c r="AL80" s="262" t="s">
        <v>621</v>
      </c>
      <c r="AM80" s="262" t="s">
        <v>621</v>
      </c>
      <c r="AN80" s="262" t="s">
        <v>621</v>
      </c>
      <c r="AO80" s="262" t="s">
        <v>621</v>
      </c>
      <c r="AP80" s="262" t="s">
        <v>621</v>
      </c>
      <c r="AQ80" s="262" t="s">
        <v>621</v>
      </c>
      <c r="AR80" s="262" t="s">
        <v>621</v>
      </c>
      <c r="AS80" s="262" t="s">
        <v>621</v>
      </c>
    </row>
    <row r="81" spans="1:45" s="432" customFormat="1" ht="102" customHeight="1" x14ac:dyDescent="0.25">
      <c r="A81" s="316" t="s">
        <v>889</v>
      </c>
      <c r="B81" s="426" t="s">
        <v>1729</v>
      </c>
      <c r="C81" s="262" t="str">
        <f>CONCATENATE("J","_",2021,"_",A81)</f>
        <v>J_2021_1.2.4.2.5</v>
      </c>
      <c r="D81" s="262" t="s">
        <v>621</v>
      </c>
      <c r="E81" s="262" t="s">
        <v>621</v>
      </c>
      <c r="F81" s="262" t="s">
        <v>621</v>
      </c>
      <c r="G81" s="262" t="s">
        <v>621</v>
      </c>
      <c r="H81" s="262" t="s">
        <v>621</v>
      </c>
      <c r="I81" s="262" t="s">
        <v>621</v>
      </c>
      <c r="J81" s="262" t="s">
        <v>621</v>
      </c>
      <c r="K81" s="262" t="s">
        <v>621</v>
      </c>
      <c r="L81" s="262">
        <v>15</v>
      </c>
      <c r="M81" s="262">
        <v>18</v>
      </c>
      <c r="N81" s="262" t="s">
        <v>621</v>
      </c>
      <c r="O81" s="262" t="s">
        <v>621</v>
      </c>
      <c r="P81" s="262" t="s">
        <v>621</v>
      </c>
      <c r="Q81" s="262" t="s">
        <v>621</v>
      </c>
      <c r="R81" s="262" t="s">
        <v>621</v>
      </c>
      <c r="S81" s="262" t="s">
        <v>621</v>
      </c>
      <c r="T81" s="262" t="s">
        <v>621</v>
      </c>
      <c r="U81" s="262" t="s">
        <v>621</v>
      </c>
      <c r="V81" s="262" t="s">
        <v>621</v>
      </c>
      <c r="W81" s="262" t="s">
        <v>621</v>
      </c>
      <c r="X81" s="262" t="s">
        <v>621</v>
      </c>
      <c r="Y81" s="262" t="s">
        <v>621</v>
      </c>
      <c r="Z81" s="262" t="s">
        <v>621</v>
      </c>
      <c r="AA81" s="262" t="s">
        <v>621</v>
      </c>
      <c r="AB81" s="262" t="s">
        <v>621</v>
      </c>
      <c r="AC81" s="262" t="s">
        <v>621</v>
      </c>
      <c r="AD81" s="262" t="s">
        <v>621</v>
      </c>
      <c r="AE81" s="262" t="s">
        <v>621</v>
      </c>
      <c r="AF81" s="262" t="s">
        <v>621</v>
      </c>
      <c r="AG81" s="262" t="s">
        <v>621</v>
      </c>
      <c r="AH81" s="262" t="s">
        <v>621</v>
      </c>
      <c r="AI81" s="262" t="s">
        <v>621</v>
      </c>
      <c r="AJ81" s="262" t="s">
        <v>621</v>
      </c>
      <c r="AK81" s="262" t="s">
        <v>621</v>
      </c>
      <c r="AL81" s="262" t="s">
        <v>621</v>
      </c>
      <c r="AM81" s="262" t="s">
        <v>621</v>
      </c>
      <c r="AN81" s="262" t="s">
        <v>621</v>
      </c>
      <c r="AO81" s="262" t="s">
        <v>621</v>
      </c>
      <c r="AP81" s="262" t="s">
        <v>621</v>
      </c>
      <c r="AQ81" s="262" t="s">
        <v>621</v>
      </c>
      <c r="AR81" s="262" t="s">
        <v>621</v>
      </c>
      <c r="AS81" s="262" t="s">
        <v>621</v>
      </c>
    </row>
    <row r="82" spans="1:45" ht="184.5" hidden="1" x14ac:dyDescent="0.35">
      <c r="A82" s="308" t="s">
        <v>722</v>
      </c>
      <c r="B82" s="441" t="s">
        <v>708</v>
      </c>
      <c r="C82" s="262" t="str">
        <f t="shared" ref="C82:C87" si="4">CONCATENATE("J","_",2021,"_",A82)</f>
        <v>J_2021_1.3</v>
      </c>
      <c r="D82" s="262" t="s">
        <v>621</v>
      </c>
      <c r="E82" s="262" t="s">
        <v>621</v>
      </c>
      <c r="F82" s="262" t="s">
        <v>621</v>
      </c>
      <c r="G82" s="262" t="s">
        <v>621</v>
      </c>
      <c r="H82" s="262" t="s">
        <v>621</v>
      </c>
      <c r="I82" s="262" t="s">
        <v>621</v>
      </c>
      <c r="J82" s="262" t="s">
        <v>621</v>
      </c>
      <c r="K82" s="262" t="s">
        <v>621</v>
      </c>
      <c r="L82" s="262">
        <v>15</v>
      </c>
      <c r="M82" s="262">
        <v>18</v>
      </c>
      <c r="N82" s="262" t="s">
        <v>621</v>
      </c>
      <c r="O82" s="262" t="s">
        <v>621</v>
      </c>
      <c r="P82" s="262" t="s">
        <v>621</v>
      </c>
      <c r="Q82" s="262" t="s">
        <v>621</v>
      </c>
      <c r="R82" s="262" t="s">
        <v>621</v>
      </c>
      <c r="S82" s="262" t="s">
        <v>621</v>
      </c>
      <c r="T82" s="262" t="s">
        <v>621</v>
      </c>
      <c r="U82" s="262" t="s">
        <v>621</v>
      </c>
      <c r="V82" s="262" t="s">
        <v>621</v>
      </c>
      <c r="W82" s="262" t="s">
        <v>621</v>
      </c>
      <c r="X82" s="262" t="s">
        <v>621</v>
      </c>
      <c r="Y82" s="262" t="s">
        <v>621</v>
      </c>
      <c r="Z82" s="262" t="s">
        <v>621</v>
      </c>
      <c r="AA82" s="262" t="s">
        <v>621</v>
      </c>
      <c r="AB82" s="262" t="s">
        <v>621</v>
      </c>
      <c r="AC82" s="262" t="s">
        <v>621</v>
      </c>
      <c r="AD82" s="262" t="s">
        <v>621</v>
      </c>
      <c r="AE82" s="262" t="s">
        <v>621</v>
      </c>
      <c r="AF82" s="262" t="s">
        <v>621</v>
      </c>
      <c r="AG82" s="262" t="s">
        <v>621</v>
      </c>
      <c r="AH82" s="262" t="s">
        <v>621</v>
      </c>
      <c r="AI82" s="262" t="s">
        <v>621</v>
      </c>
      <c r="AJ82" s="262" t="s">
        <v>621</v>
      </c>
      <c r="AK82" s="262" t="s">
        <v>621</v>
      </c>
      <c r="AL82" s="262" t="s">
        <v>621</v>
      </c>
      <c r="AM82" s="262" t="s">
        <v>621</v>
      </c>
      <c r="AN82" s="262" t="s">
        <v>621</v>
      </c>
      <c r="AO82" s="262" t="s">
        <v>621</v>
      </c>
      <c r="AP82" s="262" t="s">
        <v>621</v>
      </c>
      <c r="AQ82" s="262" t="s">
        <v>621</v>
      </c>
      <c r="AR82" s="262" t="s">
        <v>621</v>
      </c>
      <c r="AS82" s="262" t="s">
        <v>621</v>
      </c>
    </row>
    <row r="83" spans="1:45" ht="153.75" hidden="1" x14ac:dyDescent="0.35">
      <c r="A83" s="316" t="s">
        <v>723</v>
      </c>
      <c r="B83" s="426" t="s">
        <v>709</v>
      </c>
      <c r="C83" s="262" t="str">
        <f t="shared" si="4"/>
        <v>J_2021_1.3.1</v>
      </c>
      <c r="D83" s="262" t="s">
        <v>621</v>
      </c>
      <c r="E83" s="262" t="s">
        <v>621</v>
      </c>
      <c r="F83" s="262" t="s">
        <v>621</v>
      </c>
      <c r="G83" s="262" t="s">
        <v>621</v>
      </c>
      <c r="H83" s="262" t="s">
        <v>621</v>
      </c>
      <c r="I83" s="262" t="s">
        <v>621</v>
      </c>
      <c r="J83" s="262" t="s">
        <v>621</v>
      </c>
      <c r="K83" s="262" t="s">
        <v>621</v>
      </c>
      <c r="L83" s="262">
        <v>15</v>
      </c>
      <c r="M83" s="262">
        <v>18</v>
      </c>
      <c r="N83" s="262" t="s">
        <v>621</v>
      </c>
      <c r="O83" s="262" t="s">
        <v>621</v>
      </c>
      <c r="P83" s="262" t="s">
        <v>621</v>
      </c>
      <c r="Q83" s="262" t="s">
        <v>621</v>
      </c>
      <c r="R83" s="262" t="s">
        <v>621</v>
      </c>
      <c r="S83" s="262" t="s">
        <v>621</v>
      </c>
      <c r="T83" s="262" t="s">
        <v>621</v>
      </c>
      <c r="U83" s="262" t="s">
        <v>621</v>
      </c>
      <c r="V83" s="262" t="s">
        <v>621</v>
      </c>
      <c r="W83" s="262" t="s">
        <v>621</v>
      </c>
      <c r="X83" s="262" t="s">
        <v>621</v>
      </c>
      <c r="Y83" s="262" t="s">
        <v>621</v>
      </c>
      <c r="Z83" s="262" t="s">
        <v>621</v>
      </c>
      <c r="AA83" s="262" t="s">
        <v>621</v>
      </c>
      <c r="AB83" s="262" t="s">
        <v>621</v>
      </c>
      <c r="AC83" s="262" t="s">
        <v>621</v>
      </c>
      <c r="AD83" s="262" t="s">
        <v>621</v>
      </c>
      <c r="AE83" s="262" t="s">
        <v>621</v>
      </c>
      <c r="AF83" s="262" t="s">
        <v>621</v>
      </c>
      <c r="AG83" s="262" t="s">
        <v>621</v>
      </c>
      <c r="AH83" s="262" t="s">
        <v>621</v>
      </c>
      <c r="AI83" s="262" t="s">
        <v>621</v>
      </c>
      <c r="AJ83" s="262" t="s">
        <v>621</v>
      </c>
      <c r="AK83" s="262" t="s">
        <v>621</v>
      </c>
      <c r="AL83" s="262" t="s">
        <v>621</v>
      </c>
      <c r="AM83" s="262" t="s">
        <v>621</v>
      </c>
      <c r="AN83" s="262" t="s">
        <v>621</v>
      </c>
      <c r="AO83" s="262" t="s">
        <v>621</v>
      </c>
      <c r="AP83" s="262" t="s">
        <v>621</v>
      </c>
      <c r="AQ83" s="262" t="s">
        <v>621</v>
      </c>
      <c r="AR83" s="262" t="s">
        <v>621</v>
      </c>
      <c r="AS83" s="262" t="s">
        <v>621</v>
      </c>
    </row>
    <row r="84" spans="1:45" ht="153.75" hidden="1" x14ac:dyDescent="0.35">
      <c r="A84" s="316" t="s">
        <v>724</v>
      </c>
      <c r="B84" s="426" t="s">
        <v>710</v>
      </c>
      <c r="C84" s="262" t="str">
        <f t="shared" si="4"/>
        <v>J_2021_1.3.2</v>
      </c>
      <c r="D84" s="262" t="s">
        <v>621</v>
      </c>
      <c r="E84" s="262" t="s">
        <v>621</v>
      </c>
      <c r="F84" s="262" t="s">
        <v>621</v>
      </c>
      <c r="G84" s="262" t="s">
        <v>621</v>
      </c>
      <c r="H84" s="262" t="s">
        <v>621</v>
      </c>
      <c r="I84" s="262" t="s">
        <v>621</v>
      </c>
      <c r="J84" s="262" t="s">
        <v>621</v>
      </c>
      <c r="K84" s="262" t="s">
        <v>621</v>
      </c>
      <c r="L84" s="262">
        <v>15</v>
      </c>
      <c r="M84" s="262">
        <v>18</v>
      </c>
      <c r="N84" s="262" t="s">
        <v>621</v>
      </c>
      <c r="O84" s="262" t="s">
        <v>621</v>
      </c>
      <c r="P84" s="262" t="s">
        <v>621</v>
      </c>
      <c r="Q84" s="262" t="s">
        <v>621</v>
      </c>
      <c r="R84" s="262" t="s">
        <v>621</v>
      </c>
      <c r="S84" s="262" t="s">
        <v>621</v>
      </c>
      <c r="T84" s="262" t="s">
        <v>621</v>
      </c>
      <c r="U84" s="262" t="s">
        <v>621</v>
      </c>
      <c r="V84" s="262" t="s">
        <v>621</v>
      </c>
      <c r="W84" s="262" t="s">
        <v>621</v>
      </c>
      <c r="X84" s="262" t="s">
        <v>621</v>
      </c>
      <c r="Y84" s="262" t="s">
        <v>621</v>
      </c>
      <c r="Z84" s="262" t="s">
        <v>621</v>
      </c>
      <c r="AA84" s="262" t="s">
        <v>621</v>
      </c>
      <c r="AB84" s="262" t="s">
        <v>621</v>
      </c>
      <c r="AC84" s="262" t="s">
        <v>621</v>
      </c>
      <c r="AD84" s="262" t="s">
        <v>621</v>
      </c>
      <c r="AE84" s="262" t="s">
        <v>621</v>
      </c>
      <c r="AF84" s="262" t="s">
        <v>621</v>
      </c>
      <c r="AG84" s="262" t="s">
        <v>621</v>
      </c>
      <c r="AH84" s="262" t="s">
        <v>621</v>
      </c>
      <c r="AI84" s="262" t="s">
        <v>621</v>
      </c>
      <c r="AJ84" s="262" t="s">
        <v>621</v>
      </c>
      <c r="AK84" s="262" t="s">
        <v>621</v>
      </c>
      <c r="AL84" s="262" t="s">
        <v>621</v>
      </c>
      <c r="AM84" s="262" t="s">
        <v>621</v>
      </c>
      <c r="AN84" s="262" t="s">
        <v>621</v>
      </c>
      <c r="AO84" s="262" t="s">
        <v>621</v>
      </c>
      <c r="AP84" s="262" t="s">
        <v>621</v>
      </c>
      <c r="AQ84" s="262" t="s">
        <v>621</v>
      </c>
      <c r="AR84" s="262" t="s">
        <v>621</v>
      </c>
      <c r="AS84" s="262" t="s">
        <v>621</v>
      </c>
    </row>
    <row r="85" spans="1:45" ht="90" hidden="1" x14ac:dyDescent="0.35">
      <c r="A85" s="266" t="s">
        <v>742</v>
      </c>
      <c r="B85" s="626" t="s">
        <v>688</v>
      </c>
      <c r="C85" s="262" t="str">
        <f t="shared" si="4"/>
        <v>J_2021_1.4</v>
      </c>
      <c r="D85" s="262" t="s">
        <v>621</v>
      </c>
      <c r="E85" s="262" t="s">
        <v>621</v>
      </c>
      <c r="F85" s="262" t="s">
        <v>621</v>
      </c>
      <c r="G85" s="262" t="s">
        <v>621</v>
      </c>
      <c r="H85" s="262" t="s">
        <v>621</v>
      </c>
      <c r="I85" s="262" t="s">
        <v>621</v>
      </c>
      <c r="J85" s="262" t="s">
        <v>621</v>
      </c>
      <c r="K85" s="262" t="s">
        <v>621</v>
      </c>
      <c r="L85" s="262">
        <v>15</v>
      </c>
      <c r="M85" s="262">
        <v>18</v>
      </c>
      <c r="N85" s="262" t="s">
        <v>621</v>
      </c>
      <c r="O85" s="262" t="s">
        <v>621</v>
      </c>
      <c r="P85" s="262" t="s">
        <v>621</v>
      </c>
      <c r="Q85" s="262" t="s">
        <v>621</v>
      </c>
      <c r="R85" s="262" t="s">
        <v>621</v>
      </c>
      <c r="S85" s="262" t="s">
        <v>621</v>
      </c>
      <c r="T85" s="262" t="s">
        <v>621</v>
      </c>
      <c r="U85" s="262" t="s">
        <v>621</v>
      </c>
      <c r="V85" s="262" t="s">
        <v>621</v>
      </c>
      <c r="W85" s="262" t="s">
        <v>621</v>
      </c>
      <c r="X85" s="262" t="s">
        <v>621</v>
      </c>
      <c r="Y85" s="262" t="s">
        <v>621</v>
      </c>
      <c r="Z85" s="262" t="s">
        <v>621</v>
      </c>
      <c r="AA85" s="262" t="s">
        <v>621</v>
      </c>
      <c r="AB85" s="262" t="s">
        <v>621</v>
      </c>
      <c r="AC85" s="262" t="s">
        <v>621</v>
      </c>
      <c r="AD85" s="262" t="s">
        <v>621</v>
      </c>
      <c r="AE85" s="262" t="s">
        <v>621</v>
      </c>
      <c r="AF85" s="262" t="s">
        <v>621</v>
      </c>
      <c r="AG85" s="262" t="s">
        <v>621</v>
      </c>
      <c r="AH85" s="262" t="s">
        <v>621</v>
      </c>
      <c r="AI85" s="262" t="s">
        <v>621</v>
      </c>
      <c r="AJ85" s="262" t="s">
        <v>621</v>
      </c>
      <c r="AK85" s="262" t="s">
        <v>621</v>
      </c>
      <c r="AL85" s="262" t="s">
        <v>621</v>
      </c>
      <c r="AM85" s="262" t="s">
        <v>621</v>
      </c>
      <c r="AN85" s="262" t="s">
        <v>621</v>
      </c>
      <c r="AO85" s="262" t="s">
        <v>621</v>
      </c>
      <c r="AP85" s="262" t="s">
        <v>621</v>
      </c>
      <c r="AQ85" s="262" t="s">
        <v>621</v>
      </c>
      <c r="AR85" s="262" t="s">
        <v>621</v>
      </c>
      <c r="AS85" s="262" t="s">
        <v>621</v>
      </c>
    </row>
    <row r="86" spans="1:45" ht="90" hidden="1" x14ac:dyDescent="0.35">
      <c r="A86" s="266" t="s">
        <v>743</v>
      </c>
      <c r="B86" s="626" t="s">
        <v>689</v>
      </c>
      <c r="C86" s="262" t="str">
        <f t="shared" si="4"/>
        <v>J_2021_1.5</v>
      </c>
      <c r="D86" s="262" t="s">
        <v>621</v>
      </c>
      <c r="E86" s="262" t="s">
        <v>621</v>
      </c>
      <c r="F86" s="262" t="s">
        <v>621</v>
      </c>
      <c r="G86" s="262" t="s">
        <v>621</v>
      </c>
      <c r="H86" s="262" t="s">
        <v>621</v>
      </c>
      <c r="I86" s="262" t="s">
        <v>621</v>
      </c>
      <c r="J86" s="262" t="s">
        <v>621</v>
      </c>
      <c r="K86" s="262" t="s">
        <v>621</v>
      </c>
      <c r="L86" s="262">
        <v>15</v>
      </c>
      <c r="M86" s="262">
        <v>18</v>
      </c>
      <c r="N86" s="262" t="s">
        <v>621</v>
      </c>
      <c r="O86" s="262" t="s">
        <v>621</v>
      </c>
      <c r="P86" s="262" t="s">
        <v>621</v>
      </c>
      <c r="Q86" s="262" t="s">
        <v>621</v>
      </c>
      <c r="R86" s="262" t="s">
        <v>621</v>
      </c>
      <c r="S86" s="262" t="s">
        <v>621</v>
      </c>
      <c r="T86" s="262" t="s">
        <v>621</v>
      </c>
      <c r="U86" s="262" t="s">
        <v>621</v>
      </c>
      <c r="V86" s="262" t="s">
        <v>621</v>
      </c>
      <c r="W86" s="262" t="s">
        <v>621</v>
      </c>
      <c r="X86" s="262" t="s">
        <v>621</v>
      </c>
      <c r="Y86" s="262" t="s">
        <v>621</v>
      </c>
      <c r="Z86" s="262" t="s">
        <v>621</v>
      </c>
      <c r="AA86" s="262" t="s">
        <v>621</v>
      </c>
      <c r="AB86" s="262" t="s">
        <v>621</v>
      </c>
      <c r="AC86" s="262" t="s">
        <v>621</v>
      </c>
      <c r="AD86" s="262" t="s">
        <v>621</v>
      </c>
      <c r="AE86" s="262" t="s">
        <v>621</v>
      </c>
      <c r="AF86" s="262" t="s">
        <v>621</v>
      </c>
      <c r="AG86" s="262" t="s">
        <v>621</v>
      </c>
      <c r="AH86" s="262" t="s">
        <v>621</v>
      </c>
      <c r="AI86" s="262" t="s">
        <v>621</v>
      </c>
      <c r="AJ86" s="262" t="s">
        <v>621</v>
      </c>
      <c r="AK86" s="262" t="s">
        <v>621</v>
      </c>
      <c r="AL86" s="262" t="s">
        <v>621</v>
      </c>
      <c r="AM86" s="262" t="s">
        <v>621</v>
      </c>
      <c r="AN86" s="262" t="s">
        <v>621</v>
      </c>
      <c r="AO86" s="262" t="s">
        <v>621</v>
      </c>
      <c r="AP86" s="262" t="s">
        <v>621</v>
      </c>
      <c r="AQ86" s="262" t="s">
        <v>621</v>
      </c>
      <c r="AR86" s="262" t="s">
        <v>621</v>
      </c>
      <c r="AS86" s="262" t="s">
        <v>621</v>
      </c>
    </row>
    <row r="87" spans="1:45" ht="25.5" hidden="1" customHeight="1" x14ac:dyDescent="0.35">
      <c r="A87" s="266" t="s">
        <v>741</v>
      </c>
      <c r="B87" s="626" t="s">
        <v>690</v>
      </c>
      <c r="C87" s="262" t="str">
        <f t="shared" si="4"/>
        <v>J_2021_1.6</v>
      </c>
      <c r="D87" s="262" t="s">
        <v>621</v>
      </c>
      <c r="E87" s="262" t="s">
        <v>621</v>
      </c>
      <c r="F87" s="262" t="s">
        <v>621</v>
      </c>
      <c r="G87" s="262" t="s">
        <v>621</v>
      </c>
      <c r="H87" s="262" t="s">
        <v>621</v>
      </c>
      <c r="I87" s="262" t="s">
        <v>621</v>
      </c>
      <c r="J87" s="262" t="s">
        <v>621</v>
      </c>
      <c r="K87" s="262" t="s">
        <v>621</v>
      </c>
      <c r="L87" s="262">
        <v>15</v>
      </c>
      <c r="M87" s="262">
        <v>18</v>
      </c>
      <c r="N87" s="262" t="s">
        <v>621</v>
      </c>
      <c r="O87" s="262" t="s">
        <v>621</v>
      </c>
      <c r="P87" s="262" t="s">
        <v>621</v>
      </c>
      <c r="Q87" s="262" t="s">
        <v>621</v>
      </c>
      <c r="R87" s="262" t="s">
        <v>621</v>
      </c>
      <c r="S87" s="262" t="s">
        <v>621</v>
      </c>
      <c r="T87" s="262" t="s">
        <v>621</v>
      </c>
      <c r="U87" s="262" t="s">
        <v>621</v>
      </c>
      <c r="V87" s="262" t="s">
        <v>621</v>
      </c>
      <c r="W87" s="262" t="s">
        <v>621</v>
      </c>
      <c r="X87" s="262" t="s">
        <v>621</v>
      </c>
      <c r="Y87" s="262" t="s">
        <v>621</v>
      </c>
      <c r="Z87" s="262" t="s">
        <v>621</v>
      </c>
      <c r="AA87" s="262" t="s">
        <v>621</v>
      </c>
      <c r="AB87" s="262" t="s">
        <v>621</v>
      </c>
      <c r="AC87" s="262" t="s">
        <v>621</v>
      </c>
      <c r="AD87" s="262" t="s">
        <v>621</v>
      </c>
      <c r="AE87" s="262" t="s">
        <v>621</v>
      </c>
      <c r="AF87" s="262" t="s">
        <v>621</v>
      </c>
      <c r="AG87" s="262" t="s">
        <v>621</v>
      </c>
      <c r="AH87" s="262" t="s">
        <v>621</v>
      </c>
      <c r="AI87" s="262" t="s">
        <v>621</v>
      </c>
      <c r="AJ87" s="262" t="s">
        <v>621</v>
      </c>
      <c r="AK87" s="262" t="s">
        <v>621</v>
      </c>
      <c r="AL87" s="262" t="s">
        <v>621</v>
      </c>
      <c r="AM87" s="262" t="s">
        <v>621</v>
      </c>
      <c r="AN87" s="262" t="s">
        <v>621</v>
      </c>
      <c r="AO87" s="262" t="s">
        <v>621</v>
      </c>
      <c r="AP87" s="262" t="s">
        <v>621</v>
      </c>
      <c r="AQ87" s="262" t="s">
        <v>621</v>
      </c>
      <c r="AR87" s="262" t="s">
        <v>621</v>
      </c>
      <c r="AS87" s="262" t="s">
        <v>621</v>
      </c>
    </row>
    <row r="88" spans="1:45" ht="57.75" customHeight="1" x14ac:dyDescent="0.35">
      <c r="A88" s="308" t="s">
        <v>741</v>
      </c>
      <c r="B88" s="309" t="s">
        <v>1653</v>
      </c>
      <c r="C88" s="305" t="s">
        <v>621</v>
      </c>
      <c r="D88" s="305" t="s">
        <v>621</v>
      </c>
      <c r="E88" s="305" t="s">
        <v>621</v>
      </c>
      <c r="F88" s="305" t="s">
        <v>621</v>
      </c>
      <c r="G88" s="305" t="s">
        <v>621</v>
      </c>
      <c r="H88" s="305" t="s">
        <v>621</v>
      </c>
      <c r="I88" s="305" t="s">
        <v>621</v>
      </c>
      <c r="J88" s="305" t="s">
        <v>621</v>
      </c>
      <c r="K88" s="305" t="s">
        <v>621</v>
      </c>
      <c r="L88" s="305" t="s">
        <v>621</v>
      </c>
      <c r="M88" s="305" t="s">
        <v>621</v>
      </c>
      <c r="N88" s="305" t="s">
        <v>621</v>
      </c>
      <c r="O88" s="305" t="s">
        <v>621</v>
      </c>
      <c r="P88" s="305" t="s">
        <v>621</v>
      </c>
      <c r="Q88" s="305" t="s">
        <v>621</v>
      </c>
      <c r="R88" s="305" t="s">
        <v>621</v>
      </c>
      <c r="S88" s="305" t="s">
        <v>621</v>
      </c>
      <c r="T88" s="305" t="s">
        <v>621</v>
      </c>
      <c r="U88" s="305" t="s">
        <v>621</v>
      </c>
      <c r="V88" s="305" t="s">
        <v>621</v>
      </c>
      <c r="W88" s="305" t="s">
        <v>621</v>
      </c>
      <c r="X88" s="305" t="s">
        <v>621</v>
      </c>
      <c r="Y88" s="305" t="s">
        <v>621</v>
      </c>
      <c r="Z88" s="305" t="s">
        <v>621</v>
      </c>
      <c r="AA88" s="305" t="s">
        <v>621</v>
      </c>
      <c r="AB88" s="305" t="s">
        <v>621</v>
      </c>
      <c r="AC88" s="305" t="s">
        <v>621</v>
      </c>
      <c r="AD88" s="305" t="s">
        <v>621</v>
      </c>
      <c r="AE88" s="305" t="s">
        <v>621</v>
      </c>
      <c r="AF88" s="305" t="s">
        <v>621</v>
      </c>
      <c r="AG88" s="305" t="s">
        <v>621</v>
      </c>
      <c r="AH88" s="305" t="s">
        <v>621</v>
      </c>
      <c r="AI88" s="305" t="s">
        <v>621</v>
      </c>
      <c r="AJ88" s="305">
        <f>AK88</f>
        <v>13.66</v>
      </c>
      <c r="AK88" s="305">
        <v>13.66</v>
      </c>
      <c r="AL88" s="305" t="s">
        <v>621</v>
      </c>
      <c r="AM88" s="305" t="s">
        <v>621</v>
      </c>
      <c r="AN88" s="305" t="s">
        <v>621</v>
      </c>
      <c r="AO88" s="305" t="s">
        <v>621</v>
      </c>
      <c r="AP88" s="305" t="s">
        <v>621</v>
      </c>
      <c r="AQ88" s="305" t="s">
        <v>621</v>
      </c>
      <c r="AR88" s="305" t="s">
        <v>621</v>
      </c>
      <c r="AS88" s="305" t="s">
        <v>621</v>
      </c>
    </row>
    <row r="89" spans="1:45" ht="114" customHeight="1" x14ac:dyDescent="0.35">
      <c r="A89" s="316" t="s">
        <v>1655</v>
      </c>
      <c r="B89" s="655" t="s">
        <v>1654</v>
      </c>
      <c r="C89" s="433" t="str">
        <f>CONCATENATE("J","_",2021,"_",A89)</f>
        <v>J_2021_1.6.1.</v>
      </c>
      <c r="D89" s="262" t="s">
        <v>621</v>
      </c>
      <c r="E89" s="262" t="s">
        <v>621</v>
      </c>
      <c r="F89" s="262" t="s">
        <v>621</v>
      </c>
      <c r="G89" s="262" t="s">
        <v>621</v>
      </c>
      <c r="H89" s="262" t="s">
        <v>621</v>
      </c>
      <c r="I89" s="262" t="s">
        <v>621</v>
      </c>
      <c r="J89" s="262" t="s">
        <v>621</v>
      </c>
      <c r="K89" s="262" t="s">
        <v>621</v>
      </c>
      <c r="L89" s="262" t="s">
        <v>621</v>
      </c>
      <c r="M89" s="262" t="s">
        <v>621</v>
      </c>
      <c r="N89" s="262" t="s">
        <v>621</v>
      </c>
      <c r="O89" s="262" t="s">
        <v>621</v>
      </c>
      <c r="P89" s="262" t="s">
        <v>621</v>
      </c>
      <c r="Q89" s="262" t="s">
        <v>621</v>
      </c>
      <c r="R89" s="262" t="s">
        <v>621</v>
      </c>
      <c r="S89" s="262" t="s">
        <v>621</v>
      </c>
      <c r="T89" s="262" t="s">
        <v>621</v>
      </c>
      <c r="U89" s="262" t="s">
        <v>621</v>
      </c>
      <c r="V89" s="262" t="s">
        <v>621</v>
      </c>
      <c r="W89" s="262" t="s">
        <v>621</v>
      </c>
      <c r="X89" s="262" t="s">
        <v>621</v>
      </c>
      <c r="Y89" s="262" t="s">
        <v>621</v>
      </c>
      <c r="Z89" s="262" t="s">
        <v>621</v>
      </c>
      <c r="AA89" s="262" t="s">
        <v>621</v>
      </c>
      <c r="AB89" s="262" t="s">
        <v>621</v>
      </c>
      <c r="AC89" s="262" t="s">
        <v>621</v>
      </c>
      <c r="AD89" s="262" t="s">
        <v>621</v>
      </c>
      <c r="AE89" s="262" t="s">
        <v>621</v>
      </c>
      <c r="AF89" s="262" t="s">
        <v>621</v>
      </c>
      <c r="AG89" s="262" t="s">
        <v>621</v>
      </c>
      <c r="AH89" s="262" t="s">
        <v>621</v>
      </c>
      <c r="AI89" s="262" t="s">
        <v>621</v>
      </c>
      <c r="AJ89" s="262">
        <f>AK89</f>
        <v>13.66</v>
      </c>
      <c r="AK89" s="262">
        <v>13.66</v>
      </c>
      <c r="AL89" s="262" t="s">
        <v>621</v>
      </c>
      <c r="AM89" s="262" t="s">
        <v>621</v>
      </c>
      <c r="AN89" s="262" t="s">
        <v>621</v>
      </c>
      <c r="AO89" s="262" t="s">
        <v>621</v>
      </c>
      <c r="AP89" s="262" t="s">
        <v>621</v>
      </c>
      <c r="AQ89" s="262" t="s">
        <v>621</v>
      </c>
      <c r="AR89" s="262" t="s">
        <v>621</v>
      </c>
      <c r="AS89" s="262" t="s">
        <v>621</v>
      </c>
    </row>
    <row r="90" spans="1:45" ht="92.25" customHeight="1" x14ac:dyDescent="0.35"/>
    <row r="91" spans="1:45" s="238" customFormat="1" ht="34.5" customHeight="1" x14ac:dyDescent="0.5">
      <c r="A91" s="136"/>
      <c r="B91" s="238" t="s">
        <v>1733</v>
      </c>
      <c r="V91" s="442" t="s">
        <v>1652</v>
      </c>
    </row>
    <row r="92" spans="1:45" hidden="1" x14ac:dyDescent="0.35"/>
    <row r="93" spans="1:45" ht="35.25" hidden="1" x14ac:dyDescent="0.5">
      <c r="A93" s="238"/>
    </row>
    <row r="94" spans="1:45" hidden="1" x14ac:dyDescent="0.35"/>
    <row r="95" spans="1:45" hidden="1" x14ac:dyDescent="0.35"/>
  </sheetData>
  <mergeCells count="42">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L17:AM1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A8:AS8"/>
    <mergeCell ref="K2:L2"/>
    <mergeCell ref="M2:N2"/>
    <mergeCell ref="A4:AS4"/>
    <mergeCell ref="A5:AS5"/>
    <mergeCell ref="A7:AS7"/>
  </mergeCells>
  <printOptions horizontalCentered="1"/>
  <pageMargins left="0.11811023622047245" right="0.11811023622047245" top="0" bottom="0.15748031496062992" header="0.31496062992125984" footer="0.31496062992125984"/>
  <pageSetup paperSize="8" scale="26" fitToHeight="0" orientation="landscape" horizontalDpi="300" verticalDpi="300" r:id="rId1"/>
  <rowBreaks count="1" manualBreakCount="1">
    <brk id="75" max="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E75"/>
  <sheetViews>
    <sheetView topLeftCell="A10" zoomScale="55" zoomScaleNormal="55" zoomScaleSheetLayoutView="40" workbookViewId="0">
      <pane xSplit="2" ySplit="6" topLeftCell="C70" activePane="bottomRight" state="frozen"/>
      <selection activeCell="A10" sqref="A10"/>
      <selection pane="topRight" activeCell="C10" sqref="C10"/>
      <selection pane="bottomLeft" activeCell="A16" sqref="A16"/>
      <selection pane="bottomRight" activeCell="A75" sqref="A75:B75"/>
    </sheetView>
  </sheetViews>
  <sheetFormatPr defaultRowHeight="20.25" x14ac:dyDescent="0.3"/>
  <cols>
    <col min="1" max="1" width="17.875" style="315" customWidth="1"/>
    <col min="2" max="2" width="35.25" style="314" customWidth="1"/>
    <col min="3" max="3" width="22.875" style="314" customWidth="1"/>
    <col min="4" max="4" width="20.125" style="314" customWidth="1"/>
    <col min="5" max="5" width="37.125" style="314" customWidth="1"/>
    <col min="6" max="6" width="16.375" style="314" customWidth="1"/>
    <col min="7" max="7" width="13.125" style="314" customWidth="1"/>
    <col min="8" max="8" width="15.375" style="314" customWidth="1"/>
    <col min="9" max="9" width="15.5" style="314" customWidth="1"/>
    <col min="10" max="10" width="15.75" style="314" customWidth="1"/>
    <col min="11" max="11" width="18.875" style="314" customWidth="1"/>
    <col min="12" max="12" width="19" style="314" customWidth="1"/>
    <col min="13" max="13" width="19.5" style="314" customWidth="1"/>
    <col min="14" max="14" width="57" style="314" customWidth="1"/>
    <col min="15" max="15" width="17.875" style="314" customWidth="1"/>
    <col min="16" max="16" width="16.25" style="314" customWidth="1"/>
    <col min="17" max="17" width="17.375" style="314" bestFit="1" customWidth="1"/>
    <col min="18" max="18" width="15.125" style="314" customWidth="1"/>
    <col min="19" max="19" width="17.625" style="217" customWidth="1"/>
    <col min="20" max="20" width="15.625" style="314" customWidth="1"/>
    <col min="21" max="21" width="15" style="314" customWidth="1"/>
    <col min="22" max="23" width="9" style="315"/>
    <col min="24" max="24" width="16.875" style="315" customWidth="1"/>
    <col min="25" max="25" width="12.125" style="315" customWidth="1"/>
    <col min="26" max="250" width="9" style="315"/>
    <col min="251" max="251" width="3.875" style="315" bestFit="1" customWidth="1"/>
    <col min="252" max="252" width="16" style="315" bestFit="1" customWidth="1"/>
    <col min="253" max="253" width="16.625" style="315" bestFit="1" customWidth="1"/>
    <col min="254" max="254" width="13.5" style="315" bestFit="1" customWidth="1"/>
    <col min="255" max="256" width="10.875" style="315" bestFit="1" customWidth="1"/>
    <col min="257" max="257" width="6.25" style="315" bestFit="1" customWidth="1"/>
    <col min="258" max="258" width="8.875" style="315" bestFit="1" customWidth="1"/>
    <col min="259" max="259" width="13.875" style="315" bestFit="1" customWidth="1"/>
    <col min="260" max="260" width="13.25" style="315" bestFit="1" customWidth="1"/>
    <col min="261" max="261" width="16" style="315" bestFit="1" customWidth="1"/>
    <col min="262" max="262" width="11.625" style="315" bestFit="1" customWidth="1"/>
    <col min="263" max="263" width="16.875" style="315" customWidth="1"/>
    <col min="264" max="264" width="13.25" style="315" customWidth="1"/>
    <col min="265" max="265" width="18.375" style="315" bestFit="1" customWidth="1"/>
    <col min="266" max="266" width="15" style="315" bestFit="1" customWidth="1"/>
    <col min="267" max="267" width="14.75" style="315" bestFit="1" customWidth="1"/>
    <col min="268" max="268" width="14.625" style="315" bestFit="1" customWidth="1"/>
    <col min="269" max="269" width="13.75" style="315" bestFit="1" customWidth="1"/>
    <col min="270" max="270" width="14.25" style="315" bestFit="1" customWidth="1"/>
    <col min="271" max="271" width="15.125" style="315" customWidth="1"/>
    <col min="272" max="272" width="20.5" style="315" bestFit="1" customWidth="1"/>
    <col min="273" max="273" width="27.875" style="315" bestFit="1" customWidth="1"/>
    <col min="274" max="274" width="6.875" style="315" bestFit="1" customWidth="1"/>
    <col min="275" max="275" width="5" style="315" bestFit="1" customWidth="1"/>
    <col min="276" max="276" width="8" style="315" bestFit="1" customWidth="1"/>
    <col min="277" max="277" width="11.875" style="315" bestFit="1" customWidth="1"/>
    <col min="278" max="506" width="9" style="315"/>
    <col min="507" max="507" width="3.875" style="315" bestFit="1" customWidth="1"/>
    <col min="508" max="508" width="16" style="315" bestFit="1" customWidth="1"/>
    <col min="509" max="509" width="16.625" style="315" bestFit="1" customWidth="1"/>
    <col min="510" max="510" width="13.5" style="315" bestFit="1" customWidth="1"/>
    <col min="511" max="512" width="10.875" style="315" bestFit="1" customWidth="1"/>
    <col min="513" max="513" width="6.25" style="315" bestFit="1" customWidth="1"/>
    <col min="514" max="514" width="8.875" style="315" bestFit="1" customWidth="1"/>
    <col min="515" max="515" width="13.875" style="315" bestFit="1" customWidth="1"/>
    <col min="516" max="516" width="13.25" style="315" bestFit="1" customWidth="1"/>
    <col min="517" max="517" width="16" style="315" bestFit="1" customWidth="1"/>
    <col min="518" max="518" width="11.625" style="315" bestFit="1" customWidth="1"/>
    <col min="519" max="519" width="16.875" style="315" customWidth="1"/>
    <col min="520" max="520" width="13.25" style="315" customWidth="1"/>
    <col min="521" max="521" width="18.375" style="315" bestFit="1" customWidth="1"/>
    <col min="522" max="522" width="15" style="315" bestFit="1" customWidth="1"/>
    <col min="523" max="523" width="14.75" style="315" bestFit="1" customWidth="1"/>
    <col min="524" max="524" width="14.625" style="315" bestFit="1" customWidth="1"/>
    <col min="525" max="525" width="13.75" style="315" bestFit="1" customWidth="1"/>
    <col min="526" max="526" width="14.25" style="315" bestFit="1" customWidth="1"/>
    <col min="527" max="527" width="15.125" style="315" customWidth="1"/>
    <col min="528" max="528" width="20.5" style="315" bestFit="1" customWidth="1"/>
    <col min="529" max="529" width="27.875" style="315" bestFit="1" customWidth="1"/>
    <col min="530" max="530" width="6.875" style="315" bestFit="1" customWidth="1"/>
    <col min="531" max="531" width="5" style="315" bestFit="1" customWidth="1"/>
    <col min="532" max="532" width="8" style="315" bestFit="1" customWidth="1"/>
    <col min="533" max="533" width="11.875" style="315" bestFit="1" customWidth="1"/>
    <col min="534" max="762" width="9" style="315"/>
    <col min="763" max="763" width="3.875" style="315" bestFit="1" customWidth="1"/>
    <col min="764" max="764" width="16" style="315" bestFit="1" customWidth="1"/>
    <col min="765" max="765" width="16.625" style="315" bestFit="1" customWidth="1"/>
    <col min="766" max="766" width="13.5" style="315" bestFit="1" customWidth="1"/>
    <col min="767" max="768" width="10.875" style="315" bestFit="1" customWidth="1"/>
    <col min="769" max="769" width="6.25" style="315" bestFit="1" customWidth="1"/>
    <col min="770" max="770" width="8.875" style="315" bestFit="1" customWidth="1"/>
    <col min="771" max="771" width="13.875" style="315" bestFit="1" customWidth="1"/>
    <col min="772" max="772" width="13.25" style="315" bestFit="1" customWidth="1"/>
    <col min="773" max="773" width="16" style="315" bestFit="1" customWidth="1"/>
    <col min="774" max="774" width="11.625" style="315" bestFit="1" customWidth="1"/>
    <col min="775" max="775" width="16.875" style="315" customWidth="1"/>
    <col min="776" max="776" width="13.25" style="315" customWidth="1"/>
    <col min="777" max="777" width="18.375" style="315" bestFit="1" customWidth="1"/>
    <col min="778" max="778" width="15" style="315" bestFit="1" customWidth="1"/>
    <col min="779" max="779" width="14.75" style="315" bestFit="1" customWidth="1"/>
    <col min="780" max="780" width="14.625" style="315" bestFit="1" customWidth="1"/>
    <col min="781" max="781" width="13.75" style="315" bestFit="1" customWidth="1"/>
    <col min="782" max="782" width="14.25" style="315" bestFit="1" customWidth="1"/>
    <col min="783" max="783" width="15.125" style="315" customWidth="1"/>
    <col min="784" max="784" width="20.5" style="315" bestFit="1" customWidth="1"/>
    <col min="785" max="785" width="27.875" style="315" bestFit="1" customWidth="1"/>
    <col min="786" max="786" width="6.875" style="315" bestFit="1" customWidth="1"/>
    <col min="787" max="787" width="5" style="315" bestFit="1" customWidth="1"/>
    <col min="788" max="788" width="8" style="315" bestFit="1" customWidth="1"/>
    <col min="789" max="789" width="11.875" style="315" bestFit="1" customWidth="1"/>
    <col min="790" max="1018" width="9" style="315"/>
    <col min="1019" max="1019" width="3.875" style="315" bestFit="1" customWidth="1"/>
    <col min="1020" max="1020" width="16" style="315" bestFit="1" customWidth="1"/>
    <col min="1021" max="1021" width="16.625" style="315" bestFit="1" customWidth="1"/>
    <col min="1022" max="1022" width="13.5" style="315" bestFit="1" customWidth="1"/>
    <col min="1023" max="1024" width="10.875" style="315" bestFit="1" customWidth="1"/>
    <col min="1025" max="1025" width="6.25" style="315" bestFit="1" customWidth="1"/>
    <col min="1026" max="1026" width="8.875" style="315" bestFit="1" customWidth="1"/>
    <col min="1027" max="1027" width="13.875" style="315" bestFit="1" customWidth="1"/>
    <col min="1028" max="1028" width="13.25" style="315" bestFit="1" customWidth="1"/>
    <col min="1029" max="1029" width="16" style="315" bestFit="1" customWidth="1"/>
    <col min="1030" max="1030" width="11.625" style="315" bestFit="1" customWidth="1"/>
    <col min="1031" max="1031" width="16.875" style="315" customWidth="1"/>
    <col min="1032" max="1032" width="13.25" style="315" customWidth="1"/>
    <col min="1033" max="1033" width="18.375" style="315" bestFit="1" customWidth="1"/>
    <col min="1034" max="1034" width="15" style="315" bestFit="1" customWidth="1"/>
    <col min="1035" max="1035" width="14.75" style="315" bestFit="1" customWidth="1"/>
    <col min="1036" max="1036" width="14.625" style="315" bestFit="1" customWidth="1"/>
    <col min="1037" max="1037" width="13.75" style="315" bestFit="1" customWidth="1"/>
    <col min="1038" max="1038" width="14.25" style="315" bestFit="1" customWidth="1"/>
    <col min="1039" max="1039" width="15.125" style="315" customWidth="1"/>
    <col min="1040" max="1040" width="20.5" style="315" bestFit="1" customWidth="1"/>
    <col min="1041" max="1041" width="27.875" style="315" bestFit="1" customWidth="1"/>
    <col min="1042" max="1042" width="6.875" style="315" bestFit="1" customWidth="1"/>
    <col min="1043" max="1043" width="5" style="315" bestFit="1" customWidth="1"/>
    <col min="1044" max="1044" width="8" style="315" bestFit="1" customWidth="1"/>
    <col min="1045" max="1045" width="11.875" style="315" bestFit="1" customWidth="1"/>
    <col min="1046" max="1274" width="9" style="315"/>
    <col min="1275" max="1275" width="3.875" style="315" bestFit="1" customWidth="1"/>
    <col min="1276" max="1276" width="16" style="315" bestFit="1" customWidth="1"/>
    <col min="1277" max="1277" width="16.625" style="315" bestFit="1" customWidth="1"/>
    <col min="1278" max="1278" width="13.5" style="315" bestFit="1" customWidth="1"/>
    <col min="1279" max="1280" width="10.875" style="315" bestFit="1" customWidth="1"/>
    <col min="1281" max="1281" width="6.25" style="315" bestFit="1" customWidth="1"/>
    <col min="1282" max="1282" width="8.875" style="315" bestFit="1" customWidth="1"/>
    <col min="1283" max="1283" width="13.875" style="315" bestFit="1" customWidth="1"/>
    <col min="1284" max="1284" width="13.25" style="315" bestFit="1" customWidth="1"/>
    <col min="1285" max="1285" width="16" style="315" bestFit="1" customWidth="1"/>
    <col min="1286" max="1286" width="11.625" style="315" bestFit="1" customWidth="1"/>
    <col min="1287" max="1287" width="16.875" style="315" customWidth="1"/>
    <col min="1288" max="1288" width="13.25" style="315" customWidth="1"/>
    <col min="1289" max="1289" width="18.375" style="315" bestFit="1" customWidth="1"/>
    <col min="1290" max="1290" width="15" style="315" bestFit="1" customWidth="1"/>
    <col min="1291" max="1291" width="14.75" style="315" bestFit="1" customWidth="1"/>
    <col min="1292" max="1292" width="14.625" style="315" bestFit="1" customWidth="1"/>
    <col min="1293" max="1293" width="13.75" style="315" bestFit="1" customWidth="1"/>
    <col min="1294" max="1294" width="14.25" style="315" bestFit="1" customWidth="1"/>
    <col min="1295" max="1295" width="15.125" style="315" customWidth="1"/>
    <col min="1296" max="1296" width="20.5" style="315" bestFit="1" customWidth="1"/>
    <col min="1297" max="1297" width="27.875" style="315" bestFit="1" customWidth="1"/>
    <col min="1298" max="1298" width="6.875" style="315" bestFit="1" customWidth="1"/>
    <col min="1299" max="1299" width="5" style="315" bestFit="1" customWidth="1"/>
    <col min="1300" max="1300" width="8" style="315" bestFit="1" customWidth="1"/>
    <col min="1301" max="1301" width="11.875" style="315" bestFit="1" customWidth="1"/>
    <col min="1302" max="1530" width="9" style="315"/>
    <col min="1531" max="1531" width="3.875" style="315" bestFit="1" customWidth="1"/>
    <col min="1532" max="1532" width="16" style="315" bestFit="1" customWidth="1"/>
    <col min="1533" max="1533" width="16.625" style="315" bestFit="1" customWidth="1"/>
    <col min="1534" max="1534" width="13.5" style="315" bestFit="1" customWidth="1"/>
    <col min="1535" max="1536" width="10.875" style="315" bestFit="1" customWidth="1"/>
    <col min="1537" max="1537" width="6.25" style="315" bestFit="1" customWidth="1"/>
    <col min="1538" max="1538" width="8.875" style="315" bestFit="1" customWidth="1"/>
    <col min="1539" max="1539" width="13.875" style="315" bestFit="1" customWidth="1"/>
    <col min="1540" max="1540" width="13.25" style="315" bestFit="1" customWidth="1"/>
    <col min="1541" max="1541" width="16" style="315" bestFit="1" customWidth="1"/>
    <col min="1542" max="1542" width="11.625" style="315" bestFit="1" customWidth="1"/>
    <col min="1543" max="1543" width="16.875" style="315" customWidth="1"/>
    <col min="1544" max="1544" width="13.25" style="315" customWidth="1"/>
    <col min="1545" max="1545" width="18.375" style="315" bestFit="1" customWidth="1"/>
    <col min="1546" max="1546" width="15" style="315" bestFit="1" customWidth="1"/>
    <col min="1547" max="1547" width="14.75" style="315" bestFit="1" customWidth="1"/>
    <col min="1548" max="1548" width="14.625" style="315" bestFit="1" customWidth="1"/>
    <col min="1549" max="1549" width="13.75" style="315" bestFit="1" customWidth="1"/>
    <col min="1550" max="1550" width="14.25" style="315" bestFit="1" customWidth="1"/>
    <col min="1551" max="1551" width="15.125" style="315" customWidth="1"/>
    <col min="1552" max="1552" width="20.5" style="315" bestFit="1" customWidth="1"/>
    <col min="1553" max="1553" width="27.875" style="315" bestFit="1" customWidth="1"/>
    <col min="1554" max="1554" width="6.875" style="315" bestFit="1" customWidth="1"/>
    <col min="1555" max="1555" width="5" style="315" bestFit="1" customWidth="1"/>
    <col min="1556" max="1556" width="8" style="315" bestFit="1" customWidth="1"/>
    <col min="1557" max="1557" width="11.875" style="315" bestFit="1" customWidth="1"/>
    <col min="1558" max="1786" width="9" style="315"/>
    <col min="1787" max="1787" width="3.875" style="315" bestFit="1" customWidth="1"/>
    <col min="1788" max="1788" width="16" style="315" bestFit="1" customWidth="1"/>
    <col min="1789" max="1789" width="16.625" style="315" bestFit="1" customWidth="1"/>
    <col min="1790" max="1790" width="13.5" style="315" bestFit="1" customWidth="1"/>
    <col min="1791" max="1792" width="10.875" style="315" bestFit="1" customWidth="1"/>
    <col min="1793" max="1793" width="6.25" style="315" bestFit="1" customWidth="1"/>
    <col min="1794" max="1794" width="8.875" style="315" bestFit="1" customWidth="1"/>
    <col min="1795" max="1795" width="13.875" style="315" bestFit="1" customWidth="1"/>
    <col min="1796" max="1796" width="13.25" style="315" bestFit="1" customWidth="1"/>
    <col min="1797" max="1797" width="16" style="315" bestFit="1" customWidth="1"/>
    <col min="1798" max="1798" width="11.625" style="315" bestFit="1" customWidth="1"/>
    <col min="1799" max="1799" width="16.875" style="315" customWidth="1"/>
    <col min="1800" max="1800" width="13.25" style="315" customWidth="1"/>
    <col min="1801" max="1801" width="18.375" style="315" bestFit="1" customWidth="1"/>
    <col min="1802" max="1802" width="15" style="315" bestFit="1" customWidth="1"/>
    <col min="1803" max="1803" width="14.75" style="315" bestFit="1" customWidth="1"/>
    <col min="1804" max="1804" width="14.625" style="315" bestFit="1" customWidth="1"/>
    <col min="1805" max="1805" width="13.75" style="315" bestFit="1" customWidth="1"/>
    <col min="1806" max="1806" width="14.25" style="315" bestFit="1" customWidth="1"/>
    <col min="1807" max="1807" width="15.125" style="315" customWidth="1"/>
    <col min="1808" max="1808" width="20.5" style="315" bestFit="1" customWidth="1"/>
    <col min="1809" max="1809" width="27.875" style="315" bestFit="1" customWidth="1"/>
    <col min="1810" max="1810" width="6.875" style="315" bestFit="1" customWidth="1"/>
    <col min="1811" max="1811" width="5" style="315" bestFit="1" customWidth="1"/>
    <col min="1812" max="1812" width="8" style="315" bestFit="1" customWidth="1"/>
    <col min="1813" max="1813" width="11.875" style="315" bestFit="1" customWidth="1"/>
    <col min="1814" max="2042" width="9" style="315"/>
    <col min="2043" max="2043" width="3.875" style="315" bestFit="1" customWidth="1"/>
    <col min="2044" max="2044" width="16" style="315" bestFit="1" customWidth="1"/>
    <col min="2045" max="2045" width="16.625" style="315" bestFit="1" customWidth="1"/>
    <col min="2046" max="2046" width="13.5" style="315" bestFit="1" customWidth="1"/>
    <col min="2047" max="2048" width="10.875" style="315" bestFit="1" customWidth="1"/>
    <col min="2049" max="2049" width="6.25" style="315" bestFit="1" customWidth="1"/>
    <col min="2050" max="2050" width="8.875" style="315" bestFit="1" customWidth="1"/>
    <col min="2051" max="2051" width="13.875" style="315" bestFit="1" customWidth="1"/>
    <col min="2052" max="2052" width="13.25" style="315" bestFit="1" customWidth="1"/>
    <col min="2053" max="2053" width="16" style="315" bestFit="1" customWidth="1"/>
    <col min="2054" max="2054" width="11.625" style="315" bestFit="1" customWidth="1"/>
    <col min="2055" max="2055" width="16.875" style="315" customWidth="1"/>
    <col min="2056" max="2056" width="13.25" style="315" customWidth="1"/>
    <col min="2057" max="2057" width="18.375" style="315" bestFit="1" customWidth="1"/>
    <col min="2058" max="2058" width="15" style="315" bestFit="1" customWidth="1"/>
    <col min="2059" max="2059" width="14.75" style="315" bestFit="1" customWidth="1"/>
    <col min="2060" max="2060" width="14.625" style="315" bestFit="1" customWidth="1"/>
    <col min="2061" max="2061" width="13.75" style="315" bestFit="1" customWidth="1"/>
    <col min="2062" max="2062" width="14.25" style="315" bestFit="1" customWidth="1"/>
    <col min="2063" max="2063" width="15.125" style="315" customWidth="1"/>
    <col min="2064" max="2064" width="20.5" style="315" bestFit="1" customWidth="1"/>
    <col min="2065" max="2065" width="27.875" style="315" bestFit="1" customWidth="1"/>
    <col min="2066" max="2066" width="6.875" style="315" bestFit="1" customWidth="1"/>
    <col min="2067" max="2067" width="5" style="315" bestFit="1" customWidth="1"/>
    <col min="2068" max="2068" width="8" style="315" bestFit="1" customWidth="1"/>
    <col min="2069" max="2069" width="11.875" style="315" bestFit="1" customWidth="1"/>
    <col min="2070" max="2298" width="9" style="315"/>
    <col min="2299" max="2299" width="3.875" style="315" bestFit="1" customWidth="1"/>
    <col min="2300" max="2300" width="16" style="315" bestFit="1" customWidth="1"/>
    <col min="2301" max="2301" width="16.625" style="315" bestFit="1" customWidth="1"/>
    <col min="2302" max="2302" width="13.5" style="315" bestFit="1" customWidth="1"/>
    <col min="2303" max="2304" width="10.875" style="315" bestFit="1" customWidth="1"/>
    <col min="2305" max="2305" width="6.25" style="315" bestFit="1" customWidth="1"/>
    <col min="2306" max="2306" width="8.875" style="315" bestFit="1" customWidth="1"/>
    <col min="2307" max="2307" width="13.875" style="315" bestFit="1" customWidth="1"/>
    <col min="2308" max="2308" width="13.25" style="315" bestFit="1" customWidth="1"/>
    <col min="2309" max="2309" width="16" style="315" bestFit="1" customWidth="1"/>
    <col min="2310" max="2310" width="11.625" style="315" bestFit="1" customWidth="1"/>
    <col min="2311" max="2311" width="16.875" style="315" customWidth="1"/>
    <col min="2312" max="2312" width="13.25" style="315" customWidth="1"/>
    <col min="2313" max="2313" width="18.375" style="315" bestFit="1" customWidth="1"/>
    <col min="2314" max="2314" width="15" style="315" bestFit="1" customWidth="1"/>
    <col min="2315" max="2315" width="14.75" style="315" bestFit="1" customWidth="1"/>
    <col min="2316" max="2316" width="14.625" style="315" bestFit="1" customWidth="1"/>
    <col min="2317" max="2317" width="13.75" style="315" bestFit="1" customWidth="1"/>
    <col min="2318" max="2318" width="14.25" style="315" bestFit="1" customWidth="1"/>
    <col min="2319" max="2319" width="15.125" style="315" customWidth="1"/>
    <col min="2320" max="2320" width="20.5" style="315" bestFit="1" customWidth="1"/>
    <col min="2321" max="2321" width="27.875" style="315" bestFit="1" customWidth="1"/>
    <col min="2322" max="2322" width="6.875" style="315" bestFit="1" customWidth="1"/>
    <col min="2323" max="2323" width="5" style="315" bestFit="1" customWidth="1"/>
    <col min="2324" max="2324" width="8" style="315" bestFit="1" customWidth="1"/>
    <col min="2325" max="2325" width="11.875" style="315" bestFit="1" customWidth="1"/>
    <col min="2326" max="2554" width="9" style="315"/>
    <col min="2555" max="2555" width="3.875" style="315" bestFit="1" customWidth="1"/>
    <col min="2556" max="2556" width="16" style="315" bestFit="1" customWidth="1"/>
    <col min="2557" max="2557" width="16.625" style="315" bestFit="1" customWidth="1"/>
    <col min="2558" max="2558" width="13.5" style="315" bestFit="1" customWidth="1"/>
    <col min="2559" max="2560" width="10.875" style="315" bestFit="1" customWidth="1"/>
    <col min="2561" max="2561" width="6.25" style="315" bestFit="1" customWidth="1"/>
    <col min="2562" max="2562" width="8.875" style="315" bestFit="1" customWidth="1"/>
    <col min="2563" max="2563" width="13.875" style="315" bestFit="1" customWidth="1"/>
    <col min="2564" max="2564" width="13.25" style="315" bestFit="1" customWidth="1"/>
    <col min="2565" max="2565" width="16" style="315" bestFit="1" customWidth="1"/>
    <col min="2566" max="2566" width="11.625" style="315" bestFit="1" customWidth="1"/>
    <col min="2567" max="2567" width="16.875" style="315" customWidth="1"/>
    <col min="2568" max="2568" width="13.25" style="315" customWidth="1"/>
    <col min="2569" max="2569" width="18.375" style="315" bestFit="1" customWidth="1"/>
    <col min="2570" max="2570" width="15" style="315" bestFit="1" customWidth="1"/>
    <col min="2571" max="2571" width="14.75" style="315" bestFit="1" customWidth="1"/>
    <col min="2572" max="2572" width="14.625" style="315" bestFit="1" customWidth="1"/>
    <col min="2573" max="2573" width="13.75" style="315" bestFit="1" customWidth="1"/>
    <col min="2574" max="2574" width="14.25" style="315" bestFit="1" customWidth="1"/>
    <col min="2575" max="2575" width="15.125" style="315" customWidth="1"/>
    <col min="2576" max="2576" width="20.5" style="315" bestFit="1" customWidth="1"/>
    <col min="2577" max="2577" width="27.875" style="315" bestFit="1" customWidth="1"/>
    <col min="2578" max="2578" width="6.875" style="315" bestFit="1" customWidth="1"/>
    <col min="2579" max="2579" width="5" style="315" bestFit="1" customWidth="1"/>
    <col min="2580" max="2580" width="8" style="315" bestFit="1" customWidth="1"/>
    <col min="2581" max="2581" width="11.875" style="315" bestFit="1" customWidth="1"/>
    <col min="2582" max="2810" width="9" style="315"/>
    <col min="2811" max="2811" width="3.875" style="315" bestFit="1" customWidth="1"/>
    <col min="2812" max="2812" width="16" style="315" bestFit="1" customWidth="1"/>
    <col min="2813" max="2813" width="16.625" style="315" bestFit="1" customWidth="1"/>
    <col min="2814" max="2814" width="13.5" style="315" bestFit="1" customWidth="1"/>
    <col min="2815" max="2816" width="10.875" style="315" bestFit="1" customWidth="1"/>
    <col min="2817" max="2817" width="6.25" style="315" bestFit="1" customWidth="1"/>
    <col min="2818" max="2818" width="8.875" style="315" bestFit="1" customWidth="1"/>
    <col min="2819" max="2819" width="13.875" style="315" bestFit="1" customWidth="1"/>
    <col min="2820" max="2820" width="13.25" style="315" bestFit="1" customWidth="1"/>
    <col min="2821" max="2821" width="16" style="315" bestFit="1" customWidth="1"/>
    <col min="2822" max="2822" width="11.625" style="315" bestFit="1" customWidth="1"/>
    <col min="2823" max="2823" width="16.875" style="315" customWidth="1"/>
    <col min="2824" max="2824" width="13.25" style="315" customWidth="1"/>
    <col min="2825" max="2825" width="18.375" style="315" bestFit="1" customWidth="1"/>
    <col min="2826" max="2826" width="15" style="315" bestFit="1" customWidth="1"/>
    <col min="2827" max="2827" width="14.75" style="315" bestFit="1" customWidth="1"/>
    <col min="2828" max="2828" width="14.625" style="315" bestFit="1" customWidth="1"/>
    <col min="2829" max="2829" width="13.75" style="315" bestFit="1" customWidth="1"/>
    <col min="2830" max="2830" width="14.25" style="315" bestFit="1" customWidth="1"/>
    <col min="2831" max="2831" width="15.125" style="315" customWidth="1"/>
    <col min="2832" max="2832" width="20.5" style="315" bestFit="1" customWidth="1"/>
    <col min="2833" max="2833" width="27.875" style="315" bestFit="1" customWidth="1"/>
    <col min="2834" max="2834" width="6.875" style="315" bestFit="1" customWidth="1"/>
    <col min="2835" max="2835" width="5" style="315" bestFit="1" customWidth="1"/>
    <col min="2836" max="2836" width="8" style="315" bestFit="1" customWidth="1"/>
    <col min="2837" max="2837" width="11.875" style="315" bestFit="1" customWidth="1"/>
    <col min="2838" max="3066" width="9" style="315"/>
    <col min="3067" max="3067" width="3.875" style="315" bestFit="1" customWidth="1"/>
    <col min="3068" max="3068" width="16" style="315" bestFit="1" customWidth="1"/>
    <col min="3069" max="3069" width="16.625" style="315" bestFit="1" customWidth="1"/>
    <col min="3070" max="3070" width="13.5" style="315" bestFit="1" customWidth="1"/>
    <col min="3071" max="3072" width="10.875" style="315" bestFit="1" customWidth="1"/>
    <col min="3073" max="3073" width="6.25" style="315" bestFit="1" customWidth="1"/>
    <col min="3074" max="3074" width="8.875" style="315" bestFit="1" customWidth="1"/>
    <col min="3075" max="3075" width="13.875" style="315" bestFit="1" customWidth="1"/>
    <col min="3076" max="3076" width="13.25" style="315" bestFit="1" customWidth="1"/>
    <col min="3077" max="3077" width="16" style="315" bestFit="1" customWidth="1"/>
    <col min="3078" max="3078" width="11.625" style="315" bestFit="1" customWidth="1"/>
    <col min="3079" max="3079" width="16.875" style="315" customWidth="1"/>
    <col min="3080" max="3080" width="13.25" style="315" customWidth="1"/>
    <col min="3081" max="3081" width="18.375" style="315" bestFit="1" customWidth="1"/>
    <col min="3082" max="3082" width="15" style="315" bestFit="1" customWidth="1"/>
    <col min="3083" max="3083" width="14.75" style="315" bestFit="1" customWidth="1"/>
    <col min="3084" max="3084" width="14.625" style="315" bestFit="1" customWidth="1"/>
    <col min="3085" max="3085" width="13.75" style="315" bestFit="1" customWidth="1"/>
    <col min="3086" max="3086" width="14.25" style="315" bestFit="1" customWidth="1"/>
    <col min="3087" max="3087" width="15.125" style="315" customWidth="1"/>
    <col min="3088" max="3088" width="20.5" style="315" bestFit="1" customWidth="1"/>
    <col min="3089" max="3089" width="27.875" style="315" bestFit="1" customWidth="1"/>
    <col min="3090" max="3090" width="6.875" style="315" bestFit="1" customWidth="1"/>
    <col min="3091" max="3091" width="5" style="315" bestFit="1" customWidth="1"/>
    <col min="3092" max="3092" width="8" style="315" bestFit="1" customWidth="1"/>
    <col min="3093" max="3093" width="11.875" style="315" bestFit="1" customWidth="1"/>
    <col min="3094" max="3322" width="9" style="315"/>
    <col min="3323" max="3323" width="3.875" style="315" bestFit="1" customWidth="1"/>
    <col min="3324" max="3324" width="16" style="315" bestFit="1" customWidth="1"/>
    <col min="3325" max="3325" width="16.625" style="315" bestFit="1" customWidth="1"/>
    <col min="3326" max="3326" width="13.5" style="315" bestFit="1" customWidth="1"/>
    <col min="3327" max="3328" width="10.875" style="315" bestFit="1" customWidth="1"/>
    <col min="3329" max="3329" width="6.25" style="315" bestFit="1" customWidth="1"/>
    <col min="3330" max="3330" width="8.875" style="315" bestFit="1" customWidth="1"/>
    <col min="3331" max="3331" width="13.875" style="315" bestFit="1" customWidth="1"/>
    <col min="3332" max="3332" width="13.25" style="315" bestFit="1" customWidth="1"/>
    <col min="3333" max="3333" width="16" style="315" bestFit="1" customWidth="1"/>
    <col min="3334" max="3334" width="11.625" style="315" bestFit="1" customWidth="1"/>
    <col min="3335" max="3335" width="16.875" style="315" customWidth="1"/>
    <col min="3336" max="3336" width="13.25" style="315" customWidth="1"/>
    <col min="3337" max="3337" width="18.375" style="315" bestFit="1" customWidth="1"/>
    <col min="3338" max="3338" width="15" style="315" bestFit="1" customWidth="1"/>
    <col min="3339" max="3339" width="14.75" style="315" bestFit="1" customWidth="1"/>
    <col min="3340" max="3340" width="14.625" style="315" bestFit="1" customWidth="1"/>
    <col min="3341" max="3341" width="13.75" style="315" bestFit="1" customWidth="1"/>
    <col min="3342" max="3342" width="14.25" style="315" bestFit="1" customWidth="1"/>
    <col min="3343" max="3343" width="15.125" style="315" customWidth="1"/>
    <col min="3344" max="3344" width="20.5" style="315" bestFit="1" customWidth="1"/>
    <col min="3345" max="3345" width="27.875" style="315" bestFit="1" customWidth="1"/>
    <col min="3346" max="3346" width="6.875" style="315" bestFit="1" customWidth="1"/>
    <col min="3347" max="3347" width="5" style="315" bestFit="1" customWidth="1"/>
    <col min="3348" max="3348" width="8" style="315" bestFit="1" customWidth="1"/>
    <col min="3349" max="3349" width="11.875" style="315" bestFit="1" customWidth="1"/>
    <col min="3350" max="3578" width="9" style="315"/>
    <col min="3579" max="3579" width="3.875" style="315" bestFit="1" customWidth="1"/>
    <col min="3580" max="3580" width="16" style="315" bestFit="1" customWidth="1"/>
    <col min="3581" max="3581" width="16.625" style="315" bestFit="1" customWidth="1"/>
    <col min="3582" max="3582" width="13.5" style="315" bestFit="1" customWidth="1"/>
    <col min="3583" max="3584" width="10.875" style="315" bestFit="1" customWidth="1"/>
    <col min="3585" max="3585" width="6.25" style="315" bestFit="1" customWidth="1"/>
    <col min="3586" max="3586" width="8.875" style="315" bestFit="1" customWidth="1"/>
    <col min="3587" max="3587" width="13.875" style="315" bestFit="1" customWidth="1"/>
    <col min="3588" max="3588" width="13.25" style="315" bestFit="1" customWidth="1"/>
    <col min="3589" max="3589" width="16" style="315" bestFit="1" customWidth="1"/>
    <col min="3590" max="3590" width="11.625" style="315" bestFit="1" customWidth="1"/>
    <col min="3591" max="3591" width="16.875" style="315" customWidth="1"/>
    <col min="3592" max="3592" width="13.25" style="315" customWidth="1"/>
    <col min="3593" max="3593" width="18.375" style="315" bestFit="1" customWidth="1"/>
    <col min="3594" max="3594" width="15" style="315" bestFit="1" customWidth="1"/>
    <col min="3595" max="3595" width="14.75" style="315" bestFit="1" customWidth="1"/>
    <col min="3596" max="3596" width="14.625" style="315" bestFit="1" customWidth="1"/>
    <col min="3597" max="3597" width="13.75" style="315" bestFit="1" customWidth="1"/>
    <col min="3598" max="3598" width="14.25" style="315" bestFit="1" customWidth="1"/>
    <col min="3599" max="3599" width="15.125" style="315" customWidth="1"/>
    <col min="3600" max="3600" width="20.5" style="315" bestFit="1" customWidth="1"/>
    <col min="3601" max="3601" width="27.875" style="315" bestFit="1" customWidth="1"/>
    <col min="3602" max="3602" width="6.875" style="315" bestFit="1" customWidth="1"/>
    <col min="3603" max="3603" width="5" style="315" bestFit="1" customWidth="1"/>
    <col min="3604" max="3604" width="8" style="315" bestFit="1" customWidth="1"/>
    <col min="3605" max="3605" width="11.875" style="315" bestFit="1" customWidth="1"/>
    <col min="3606" max="3834" width="9" style="315"/>
    <col min="3835" max="3835" width="3.875" style="315" bestFit="1" customWidth="1"/>
    <col min="3836" max="3836" width="16" style="315" bestFit="1" customWidth="1"/>
    <col min="3837" max="3837" width="16.625" style="315" bestFit="1" customWidth="1"/>
    <col min="3838" max="3838" width="13.5" style="315" bestFit="1" customWidth="1"/>
    <col min="3839" max="3840" width="10.875" style="315" bestFit="1" customWidth="1"/>
    <col min="3841" max="3841" width="6.25" style="315" bestFit="1" customWidth="1"/>
    <col min="3842" max="3842" width="8.875" style="315" bestFit="1" customWidth="1"/>
    <col min="3843" max="3843" width="13.875" style="315" bestFit="1" customWidth="1"/>
    <col min="3844" max="3844" width="13.25" style="315" bestFit="1" customWidth="1"/>
    <col min="3845" max="3845" width="16" style="315" bestFit="1" customWidth="1"/>
    <col min="3846" max="3846" width="11.625" style="315" bestFit="1" customWidth="1"/>
    <col min="3847" max="3847" width="16.875" style="315" customWidth="1"/>
    <col min="3848" max="3848" width="13.25" style="315" customWidth="1"/>
    <col min="3849" max="3849" width="18.375" style="315" bestFit="1" customWidth="1"/>
    <col min="3850" max="3850" width="15" style="315" bestFit="1" customWidth="1"/>
    <col min="3851" max="3851" width="14.75" style="315" bestFit="1" customWidth="1"/>
    <col min="3852" max="3852" width="14.625" style="315" bestFit="1" customWidth="1"/>
    <col min="3853" max="3853" width="13.75" style="315" bestFit="1" customWidth="1"/>
    <col min="3854" max="3854" width="14.25" style="315" bestFit="1" customWidth="1"/>
    <col min="3855" max="3855" width="15.125" style="315" customWidth="1"/>
    <col min="3856" max="3856" width="20.5" style="315" bestFit="1" customWidth="1"/>
    <col min="3857" max="3857" width="27.875" style="315" bestFit="1" customWidth="1"/>
    <col min="3858" max="3858" width="6.875" style="315" bestFit="1" customWidth="1"/>
    <col min="3859" max="3859" width="5" style="315" bestFit="1" customWidth="1"/>
    <col min="3860" max="3860" width="8" style="315" bestFit="1" customWidth="1"/>
    <col min="3861" max="3861" width="11.875" style="315" bestFit="1" customWidth="1"/>
    <col min="3862" max="4090" width="9" style="315"/>
    <col min="4091" max="4091" width="3.875" style="315" bestFit="1" customWidth="1"/>
    <col min="4092" max="4092" width="16" style="315" bestFit="1" customWidth="1"/>
    <col min="4093" max="4093" width="16.625" style="315" bestFit="1" customWidth="1"/>
    <col min="4094" max="4094" width="13.5" style="315" bestFit="1" customWidth="1"/>
    <col min="4095" max="4096" width="10.875" style="315" bestFit="1" customWidth="1"/>
    <col min="4097" max="4097" width="6.25" style="315" bestFit="1" customWidth="1"/>
    <col min="4098" max="4098" width="8.875" style="315" bestFit="1" customWidth="1"/>
    <col min="4099" max="4099" width="13.875" style="315" bestFit="1" customWidth="1"/>
    <col min="4100" max="4100" width="13.25" style="315" bestFit="1" customWidth="1"/>
    <col min="4101" max="4101" width="16" style="315" bestFit="1" customWidth="1"/>
    <col min="4102" max="4102" width="11.625" style="315" bestFit="1" customWidth="1"/>
    <col min="4103" max="4103" width="16.875" style="315" customWidth="1"/>
    <col min="4104" max="4104" width="13.25" style="315" customWidth="1"/>
    <col min="4105" max="4105" width="18.375" style="315" bestFit="1" customWidth="1"/>
    <col min="4106" max="4106" width="15" style="315" bestFit="1" customWidth="1"/>
    <col min="4107" max="4107" width="14.75" style="315" bestFit="1" customWidth="1"/>
    <col min="4108" max="4108" width="14.625" style="315" bestFit="1" customWidth="1"/>
    <col min="4109" max="4109" width="13.75" style="315" bestFit="1" customWidth="1"/>
    <col min="4110" max="4110" width="14.25" style="315" bestFit="1" customWidth="1"/>
    <col min="4111" max="4111" width="15.125" style="315" customWidth="1"/>
    <col min="4112" max="4112" width="20.5" style="315" bestFit="1" customWidth="1"/>
    <col min="4113" max="4113" width="27.875" style="315" bestFit="1" customWidth="1"/>
    <col min="4114" max="4114" width="6.875" style="315" bestFit="1" customWidth="1"/>
    <col min="4115" max="4115" width="5" style="315" bestFit="1" customWidth="1"/>
    <col min="4116" max="4116" width="8" style="315" bestFit="1" customWidth="1"/>
    <col min="4117" max="4117" width="11.875" style="315" bestFit="1" customWidth="1"/>
    <col min="4118" max="4346" width="9" style="315"/>
    <col min="4347" max="4347" width="3.875" style="315" bestFit="1" customWidth="1"/>
    <col min="4348" max="4348" width="16" style="315" bestFit="1" customWidth="1"/>
    <col min="4349" max="4349" width="16.625" style="315" bestFit="1" customWidth="1"/>
    <col min="4350" max="4350" width="13.5" style="315" bestFit="1" customWidth="1"/>
    <col min="4351" max="4352" width="10.875" style="315" bestFit="1" customWidth="1"/>
    <col min="4353" max="4353" width="6.25" style="315" bestFit="1" customWidth="1"/>
    <col min="4354" max="4354" width="8.875" style="315" bestFit="1" customWidth="1"/>
    <col min="4355" max="4355" width="13.875" style="315" bestFit="1" customWidth="1"/>
    <col min="4356" max="4356" width="13.25" style="315" bestFit="1" customWidth="1"/>
    <col min="4357" max="4357" width="16" style="315" bestFit="1" customWidth="1"/>
    <col min="4358" max="4358" width="11.625" style="315" bestFit="1" customWidth="1"/>
    <col min="4359" max="4359" width="16.875" style="315" customWidth="1"/>
    <col min="4360" max="4360" width="13.25" style="315" customWidth="1"/>
    <col min="4361" max="4361" width="18.375" style="315" bestFit="1" customWidth="1"/>
    <col min="4362" max="4362" width="15" style="315" bestFit="1" customWidth="1"/>
    <col min="4363" max="4363" width="14.75" style="315" bestFit="1" customWidth="1"/>
    <col min="4364" max="4364" width="14.625" style="315" bestFit="1" customWidth="1"/>
    <col min="4365" max="4365" width="13.75" style="315" bestFit="1" customWidth="1"/>
    <col min="4366" max="4366" width="14.25" style="315" bestFit="1" customWidth="1"/>
    <col min="4367" max="4367" width="15.125" style="315" customWidth="1"/>
    <col min="4368" max="4368" width="20.5" style="315" bestFit="1" customWidth="1"/>
    <col min="4369" max="4369" width="27.875" style="315" bestFit="1" customWidth="1"/>
    <col min="4370" max="4370" width="6.875" style="315" bestFit="1" customWidth="1"/>
    <col min="4371" max="4371" width="5" style="315" bestFit="1" customWidth="1"/>
    <col min="4372" max="4372" width="8" style="315" bestFit="1" customWidth="1"/>
    <col min="4373" max="4373" width="11.875" style="315" bestFit="1" customWidth="1"/>
    <col min="4374" max="4602" width="9" style="315"/>
    <col min="4603" max="4603" width="3.875" style="315" bestFit="1" customWidth="1"/>
    <col min="4604" max="4604" width="16" style="315" bestFit="1" customWidth="1"/>
    <col min="4605" max="4605" width="16.625" style="315" bestFit="1" customWidth="1"/>
    <col min="4606" max="4606" width="13.5" style="315" bestFit="1" customWidth="1"/>
    <col min="4607" max="4608" width="10.875" style="315" bestFit="1" customWidth="1"/>
    <col min="4609" max="4609" width="6.25" style="315" bestFit="1" customWidth="1"/>
    <col min="4610" max="4610" width="8.875" style="315" bestFit="1" customWidth="1"/>
    <col min="4611" max="4611" width="13.875" style="315" bestFit="1" customWidth="1"/>
    <col min="4612" max="4612" width="13.25" style="315" bestFit="1" customWidth="1"/>
    <col min="4613" max="4613" width="16" style="315" bestFit="1" customWidth="1"/>
    <col min="4614" max="4614" width="11.625" style="315" bestFit="1" customWidth="1"/>
    <col min="4615" max="4615" width="16.875" style="315" customWidth="1"/>
    <col min="4616" max="4616" width="13.25" style="315" customWidth="1"/>
    <col min="4617" max="4617" width="18.375" style="315" bestFit="1" customWidth="1"/>
    <col min="4618" max="4618" width="15" style="315" bestFit="1" customWidth="1"/>
    <col min="4619" max="4619" width="14.75" style="315" bestFit="1" customWidth="1"/>
    <col min="4620" max="4620" width="14.625" style="315" bestFit="1" customWidth="1"/>
    <col min="4621" max="4621" width="13.75" style="315" bestFit="1" customWidth="1"/>
    <col min="4622" max="4622" width="14.25" style="315" bestFit="1" customWidth="1"/>
    <col min="4623" max="4623" width="15.125" style="315" customWidth="1"/>
    <col min="4624" max="4624" width="20.5" style="315" bestFit="1" customWidth="1"/>
    <col min="4625" max="4625" width="27.875" style="315" bestFit="1" customWidth="1"/>
    <col min="4626" max="4626" width="6.875" style="315" bestFit="1" customWidth="1"/>
    <col min="4627" max="4627" width="5" style="315" bestFit="1" customWidth="1"/>
    <col min="4628" max="4628" width="8" style="315" bestFit="1" customWidth="1"/>
    <col min="4629" max="4629" width="11.875" style="315" bestFit="1" customWidth="1"/>
    <col min="4630" max="4858" width="9" style="315"/>
    <col min="4859" max="4859" width="3.875" style="315" bestFit="1" customWidth="1"/>
    <col min="4860" max="4860" width="16" style="315" bestFit="1" customWidth="1"/>
    <col min="4861" max="4861" width="16.625" style="315" bestFit="1" customWidth="1"/>
    <col min="4862" max="4862" width="13.5" style="315" bestFit="1" customWidth="1"/>
    <col min="4863" max="4864" width="10.875" style="315" bestFit="1" customWidth="1"/>
    <col min="4865" max="4865" width="6.25" style="315" bestFit="1" customWidth="1"/>
    <col min="4866" max="4866" width="8.875" style="315" bestFit="1" customWidth="1"/>
    <col min="4867" max="4867" width="13.875" style="315" bestFit="1" customWidth="1"/>
    <col min="4868" max="4868" width="13.25" style="315" bestFit="1" customWidth="1"/>
    <col min="4869" max="4869" width="16" style="315" bestFit="1" customWidth="1"/>
    <col min="4870" max="4870" width="11.625" style="315" bestFit="1" customWidth="1"/>
    <col min="4871" max="4871" width="16.875" style="315" customWidth="1"/>
    <col min="4872" max="4872" width="13.25" style="315" customWidth="1"/>
    <col min="4873" max="4873" width="18.375" style="315" bestFit="1" customWidth="1"/>
    <col min="4874" max="4874" width="15" style="315" bestFit="1" customWidth="1"/>
    <col min="4875" max="4875" width="14.75" style="315" bestFit="1" customWidth="1"/>
    <col min="4876" max="4876" width="14.625" style="315" bestFit="1" customWidth="1"/>
    <col min="4877" max="4877" width="13.75" style="315" bestFit="1" customWidth="1"/>
    <col min="4878" max="4878" width="14.25" style="315" bestFit="1" customWidth="1"/>
    <col min="4879" max="4879" width="15.125" style="315" customWidth="1"/>
    <col min="4880" max="4880" width="20.5" style="315" bestFit="1" customWidth="1"/>
    <col min="4881" max="4881" width="27.875" style="315" bestFit="1" customWidth="1"/>
    <col min="4882" max="4882" width="6.875" style="315" bestFit="1" customWidth="1"/>
    <col min="4883" max="4883" width="5" style="315" bestFit="1" customWidth="1"/>
    <col min="4884" max="4884" width="8" style="315" bestFit="1" customWidth="1"/>
    <col min="4885" max="4885" width="11.875" style="315" bestFit="1" customWidth="1"/>
    <col min="4886" max="5114" width="9" style="315"/>
    <col min="5115" max="5115" width="3.875" style="315" bestFit="1" customWidth="1"/>
    <col min="5116" max="5116" width="16" style="315" bestFit="1" customWidth="1"/>
    <col min="5117" max="5117" width="16.625" style="315" bestFit="1" customWidth="1"/>
    <col min="5118" max="5118" width="13.5" style="315" bestFit="1" customWidth="1"/>
    <col min="5119" max="5120" width="10.875" style="315" bestFit="1" customWidth="1"/>
    <col min="5121" max="5121" width="6.25" style="315" bestFit="1" customWidth="1"/>
    <col min="5122" max="5122" width="8.875" style="315" bestFit="1" customWidth="1"/>
    <col min="5123" max="5123" width="13.875" style="315" bestFit="1" customWidth="1"/>
    <col min="5124" max="5124" width="13.25" style="315" bestFit="1" customWidth="1"/>
    <col min="5125" max="5125" width="16" style="315" bestFit="1" customWidth="1"/>
    <col min="5126" max="5126" width="11.625" style="315" bestFit="1" customWidth="1"/>
    <col min="5127" max="5127" width="16.875" style="315" customWidth="1"/>
    <col min="5128" max="5128" width="13.25" style="315" customWidth="1"/>
    <col min="5129" max="5129" width="18.375" style="315" bestFit="1" customWidth="1"/>
    <col min="5130" max="5130" width="15" style="315" bestFit="1" customWidth="1"/>
    <col min="5131" max="5131" width="14.75" style="315" bestFit="1" customWidth="1"/>
    <col min="5132" max="5132" width="14.625" style="315" bestFit="1" customWidth="1"/>
    <col min="5133" max="5133" width="13.75" style="315" bestFit="1" customWidth="1"/>
    <col min="5134" max="5134" width="14.25" style="315" bestFit="1" customWidth="1"/>
    <col min="5135" max="5135" width="15.125" style="315" customWidth="1"/>
    <col min="5136" max="5136" width="20.5" style="315" bestFit="1" customWidth="1"/>
    <col min="5137" max="5137" width="27.875" style="315" bestFit="1" customWidth="1"/>
    <col min="5138" max="5138" width="6.875" style="315" bestFit="1" customWidth="1"/>
    <col min="5139" max="5139" width="5" style="315" bestFit="1" customWidth="1"/>
    <col min="5140" max="5140" width="8" style="315" bestFit="1" customWidth="1"/>
    <col min="5141" max="5141" width="11.875" style="315" bestFit="1" customWidth="1"/>
    <col min="5142" max="5370" width="9" style="315"/>
    <col min="5371" max="5371" width="3.875" style="315" bestFit="1" customWidth="1"/>
    <col min="5372" max="5372" width="16" style="315" bestFit="1" customWidth="1"/>
    <col min="5373" max="5373" width="16.625" style="315" bestFit="1" customWidth="1"/>
    <col min="5374" max="5374" width="13.5" style="315" bestFit="1" customWidth="1"/>
    <col min="5375" max="5376" width="10.875" style="315" bestFit="1" customWidth="1"/>
    <col min="5377" max="5377" width="6.25" style="315" bestFit="1" customWidth="1"/>
    <col min="5378" max="5378" width="8.875" style="315" bestFit="1" customWidth="1"/>
    <col min="5379" max="5379" width="13.875" style="315" bestFit="1" customWidth="1"/>
    <col min="5380" max="5380" width="13.25" style="315" bestFit="1" customWidth="1"/>
    <col min="5381" max="5381" width="16" style="315" bestFit="1" customWidth="1"/>
    <col min="5382" max="5382" width="11.625" style="315" bestFit="1" customWidth="1"/>
    <col min="5383" max="5383" width="16.875" style="315" customWidth="1"/>
    <col min="5384" max="5384" width="13.25" style="315" customWidth="1"/>
    <col min="5385" max="5385" width="18.375" style="315" bestFit="1" customWidth="1"/>
    <col min="5386" max="5386" width="15" style="315" bestFit="1" customWidth="1"/>
    <col min="5387" max="5387" width="14.75" style="315" bestFit="1" customWidth="1"/>
    <col min="5388" max="5388" width="14.625" style="315" bestFit="1" customWidth="1"/>
    <col min="5389" max="5389" width="13.75" style="315" bestFit="1" customWidth="1"/>
    <col min="5390" max="5390" width="14.25" style="315" bestFit="1" customWidth="1"/>
    <col min="5391" max="5391" width="15.125" style="315" customWidth="1"/>
    <col min="5392" max="5392" width="20.5" style="315" bestFit="1" customWidth="1"/>
    <col min="5393" max="5393" width="27.875" style="315" bestFit="1" customWidth="1"/>
    <col min="5394" max="5394" width="6.875" style="315" bestFit="1" customWidth="1"/>
    <col min="5395" max="5395" width="5" style="315" bestFit="1" customWidth="1"/>
    <col min="5396" max="5396" width="8" style="315" bestFit="1" customWidth="1"/>
    <col min="5397" max="5397" width="11.875" style="315" bestFit="1" customWidth="1"/>
    <col min="5398" max="5626" width="9" style="315"/>
    <col min="5627" max="5627" width="3.875" style="315" bestFit="1" customWidth="1"/>
    <col min="5628" max="5628" width="16" style="315" bestFit="1" customWidth="1"/>
    <col min="5629" max="5629" width="16.625" style="315" bestFit="1" customWidth="1"/>
    <col min="5630" max="5630" width="13.5" style="315" bestFit="1" customWidth="1"/>
    <col min="5631" max="5632" width="10.875" style="315" bestFit="1" customWidth="1"/>
    <col min="5633" max="5633" width="6.25" style="315" bestFit="1" customWidth="1"/>
    <col min="5634" max="5634" width="8.875" style="315" bestFit="1" customWidth="1"/>
    <col min="5635" max="5635" width="13.875" style="315" bestFit="1" customWidth="1"/>
    <col min="5636" max="5636" width="13.25" style="315" bestFit="1" customWidth="1"/>
    <col min="5637" max="5637" width="16" style="315" bestFit="1" customWidth="1"/>
    <col min="5638" max="5638" width="11.625" style="315" bestFit="1" customWidth="1"/>
    <col min="5639" max="5639" width="16.875" style="315" customWidth="1"/>
    <col min="5640" max="5640" width="13.25" style="315" customWidth="1"/>
    <col min="5641" max="5641" width="18.375" style="315" bestFit="1" customWidth="1"/>
    <col min="5642" max="5642" width="15" style="315" bestFit="1" customWidth="1"/>
    <col min="5643" max="5643" width="14.75" style="315" bestFit="1" customWidth="1"/>
    <col min="5644" max="5644" width="14.625" style="315" bestFit="1" customWidth="1"/>
    <col min="5645" max="5645" width="13.75" style="315" bestFit="1" customWidth="1"/>
    <col min="5646" max="5646" width="14.25" style="315" bestFit="1" customWidth="1"/>
    <col min="5647" max="5647" width="15.125" style="315" customWidth="1"/>
    <col min="5648" max="5648" width="20.5" style="315" bestFit="1" customWidth="1"/>
    <col min="5649" max="5649" width="27.875" style="315" bestFit="1" customWidth="1"/>
    <col min="5650" max="5650" width="6.875" style="315" bestFit="1" customWidth="1"/>
    <col min="5651" max="5651" width="5" style="315" bestFit="1" customWidth="1"/>
    <col min="5652" max="5652" width="8" style="315" bestFit="1" customWidth="1"/>
    <col min="5653" max="5653" width="11.875" style="315" bestFit="1" customWidth="1"/>
    <col min="5654" max="5882" width="9" style="315"/>
    <col min="5883" max="5883" width="3.875" style="315" bestFit="1" customWidth="1"/>
    <col min="5884" max="5884" width="16" style="315" bestFit="1" customWidth="1"/>
    <col min="5885" max="5885" width="16.625" style="315" bestFit="1" customWidth="1"/>
    <col min="5886" max="5886" width="13.5" style="315" bestFit="1" customWidth="1"/>
    <col min="5887" max="5888" width="10.875" style="315" bestFit="1" customWidth="1"/>
    <col min="5889" max="5889" width="6.25" style="315" bestFit="1" customWidth="1"/>
    <col min="5890" max="5890" width="8.875" style="315" bestFit="1" customWidth="1"/>
    <col min="5891" max="5891" width="13.875" style="315" bestFit="1" customWidth="1"/>
    <col min="5892" max="5892" width="13.25" style="315" bestFit="1" customWidth="1"/>
    <col min="5893" max="5893" width="16" style="315" bestFit="1" customWidth="1"/>
    <col min="5894" max="5894" width="11.625" style="315" bestFit="1" customWidth="1"/>
    <col min="5895" max="5895" width="16.875" style="315" customWidth="1"/>
    <col min="5896" max="5896" width="13.25" style="315" customWidth="1"/>
    <col min="5897" max="5897" width="18.375" style="315" bestFit="1" customWidth="1"/>
    <col min="5898" max="5898" width="15" style="315" bestFit="1" customWidth="1"/>
    <col min="5899" max="5899" width="14.75" style="315" bestFit="1" customWidth="1"/>
    <col min="5900" max="5900" width="14.625" style="315" bestFit="1" customWidth="1"/>
    <col min="5901" max="5901" width="13.75" style="315" bestFit="1" customWidth="1"/>
    <col min="5902" max="5902" width="14.25" style="315" bestFit="1" customWidth="1"/>
    <col min="5903" max="5903" width="15.125" style="315" customWidth="1"/>
    <col min="5904" max="5904" width="20.5" style="315" bestFit="1" customWidth="1"/>
    <col min="5905" max="5905" width="27.875" style="315" bestFit="1" customWidth="1"/>
    <col min="5906" max="5906" width="6.875" style="315" bestFit="1" customWidth="1"/>
    <col min="5907" max="5907" width="5" style="315" bestFit="1" customWidth="1"/>
    <col min="5908" max="5908" width="8" style="315" bestFit="1" customWidth="1"/>
    <col min="5909" max="5909" width="11.875" style="315" bestFit="1" customWidth="1"/>
    <col min="5910" max="6138" width="9" style="315"/>
    <col min="6139" max="6139" width="3.875" style="315" bestFit="1" customWidth="1"/>
    <col min="6140" max="6140" width="16" style="315" bestFit="1" customWidth="1"/>
    <col min="6141" max="6141" width="16.625" style="315" bestFit="1" customWidth="1"/>
    <col min="6142" max="6142" width="13.5" style="315" bestFit="1" customWidth="1"/>
    <col min="6143" max="6144" width="10.875" style="315" bestFit="1" customWidth="1"/>
    <col min="6145" max="6145" width="6.25" style="315" bestFit="1" customWidth="1"/>
    <col min="6146" max="6146" width="8.875" style="315" bestFit="1" customWidth="1"/>
    <col min="6147" max="6147" width="13.875" style="315" bestFit="1" customWidth="1"/>
    <col min="6148" max="6148" width="13.25" style="315" bestFit="1" customWidth="1"/>
    <col min="6149" max="6149" width="16" style="315" bestFit="1" customWidth="1"/>
    <col min="6150" max="6150" width="11.625" style="315" bestFit="1" customWidth="1"/>
    <col min="6151" max="6151" width="16.875" style="315" customWidth="1"/>
    <col min="6152" max="6152" width="13.25" style="315" customWidth="1"/>
    <col min="6153" max="6153" width="18.375" style="315" bestFit="1" customWidth="1"/>
    <col min="6154" max="6154" width="15" style="315" bestFit="1" customWidth="1"/>
    <col min="6155" max="6155" width="14.75" style="315" bestFit="1" customWidth="1"/>
    <col min="6156" max="6156" width="14.625" style="315" bestFit="1" customWidth="1"/>
    <col min="6157" max="6157" width="13.75" style="315" bestFit="1" customWidth="1"/>
    <col min="6158" max="6158" width="14.25" style="315" bestFit="1" customWidth="1"/>
    <col min="6159" max="6159" width="15.125" style="315" customWidth="1"/>
    <col min="6160" max="6160" width="20.5" style="315" bestFit="1" customWidth="1"/>
    <col min="6161" max="6161" width="27.875" style="315" bestFit="1" customWidth="1"/>
    <col min="6162" max="6162" width="6.875" style="315" bestFit="1" customWidth="1"/>
    <col min="6163" max="6163" width="5" style="315" bestFit="1" customWidth="1"/>
    <col min="6164" max="6164" width="8" style="315" bestFit="1" customWidth="1"/>
    <col min="6165" max="6165" width="11.875" style="315" bestFit="1" customWidth="1"/>
    <col min="6166" max="6394" width="9" style="315"/>
    <col min="6395" max="6395" width="3.875" style="315" bestFit="1" customWidth="1"/>
    <col min="6396" max="6396" width="16" style="315" bestFit="1" customWidth="1"/>
    <col min="6397" max="6397" width="16.625" style="315" bestFit="1" customWidth="1"/>
    <col min="6398" max="6398" width="13.5" style="315" bestFit="1" customWidth="1"/>
    <col min="6399" max="6400" width="10.875" style="315" bestFit="1" customWidth="1"/>
    <col min="6401" max="6401" width="6.25" style="315" bestFit="1" customWidth="1"/>
    <col min="6402" max="6402" width="8.875" style="315" bestFit="1" customWidth="1"/>
    <col min="6403" max="6403" width="13.875" style="315" bestFit="1" customWidth="1"/>
    <col min="6404" max="6404" width="13.25" style="315" bestFit="1" customWidth="1"/>
    <col min="6405" max="6405" width="16" style="315" bestFit="1" customWidth="1"/>
    <col min="6406" max="6406" width="11.625" style="315" bestFit="1" customWidth="1"/>
    <col min="6407" max="6407" width="16.875" style="315" customWidth="1"/>
    <col min="6408" max="6408" width="13.25" style="315" customWidth="1"/>
    <col min="6409" max="6409" width="18.375" style="315" bestFit="1" customWidth="1"/>
    <col min="6410" max="6410" width="15" style="315" bestFit="1" customWidth="1"/>
    <col min="6411" max="6411" width="14.75" style="315" bestFit="1" customWidth="1"/>
    <col min="6412" max="6412" width="14.625" style="315" bestFit="1" customWidth="1"/>
    <col min="6413" max="6413" width="13.75" style="315" bestFit="1" customWidth="1"/>
    <col min="6414" max="6414" width="14.25" style="315" bestFit="1" customWidth="1"/>
    <col min="6415" max="6415" width="15.125" style="315" customWidth="1"/>
    <col min="6416" max="6416" width="20.5" style="315" bestFit="1" customWidth="1"/>
    <col min="6417" max="6417" width="27.875" style="315" bestFit="1" customWidth="1"/>
    <col min="6418" max="6418" width="6.875" style="315" bestFit="1" customWidth="1"/>
    <col min="6419" max="6419" width="5" style="315" bestFit="1" customWidth="1"/>
    <col min="6420" max="6420" width="8" style="315" bestFit="1" customWidth="1"/>
    <col min="6421" max="6421" width="11.875" style="315" bestFit="1" customWidth="1"/>
    <col min="6422" max="6650" width="9" style="315"/>
    <col min="6651" max="6651" width="3.875" style="315" bestFit="1" customWidth="1"/>
    <col min="6652" max="6652" width="16" style="315" bestFit="1" customWidth="1"/>
    <col min="6653" max="6653" width="16.625" style="315" bestFit="1" customWidth="1"/>
    <col min="6654" max="6654" width="13.5" style="315" bestFit="1" customWidth="1"/>
    <col min="6655" max="6656" width="10.875" style="315" bestFit="1" customWidth="1"/>
    <col min="6657" max="6657" width="6.25" style="315" bestFit="1" customWidth="1"/>
    <col min="6658" max="6658" width="8.875" style="315" bestFit="1" customWidth="1"/>
    <col min="6659" max="6659" width="13.875" style="315" bestFit="1" customWidth="1"/>
    <col min="6660" max="6660" width="13.25" style="315" bestFit="1" customWidth="1"/>
    <col min="6661" max="6661" width="16" style="315" bestFit="1" customWidth="1"/>
    <col min="6662" max="6662" width="11.625" style="315" bestFit="1" customWidth="1"/>
    <col min="6663" max="6663" width="16.875" style="315" customWidth="1"/>
    <col min="6664" max="6664" width="13.25" style="315" customWidth="1"/>
    <col min="6665" max="6665" width="18.375" style="315" bestFit="1" customWidth="1"/>
    <col min="6666" max="6666" width="15" style="315" bestFit="1" customWidth="1"/>
    <col min="6667" max="6667" width="14.75" style="315" bestFit="1" customWidth="1"/>
    <col min="6668" max="6668" width="14.625" style="315" bestFit="1" customWidth="1"/>
    <col min="6669" max="6669" width="13.75" style="315" bestFit="1" customWidth="1"/>
    <col min="6670" max="6670" width="14.25" style="315" bestFit="1" customWidth="1"/>
    <col min="6671" max="6671" width="15.125" style="315" customWidth="1"/>
    <col min="6672" max="6672" width="20.5" style="315" bestFit="1" customWidth="1"/>
    <col min="6673" max="6673" width="27.875" style="315" bestFit="1" customWidth="1"/>
    <col min="6674" max="6674" width="6.875" style="315" bestFit="1" customWidth="1"/>
    <col min="6675" max="6675" width="5" style="315" bestFit="1" customWidth="1"/>
    <col min="6676" max="6676" width="8" style="315" bestFit="1" customWidth="1"/>
    <col min="6677" max="6677" width="11.875" style="315" bestFit="1" customWidth="1"/>
    <col min="6678" max="6906" width="9" style="315"/>
    <col min="6907" max="6907" width="3.875" style="315" bestFit="1" customWidth="1"/>
    <col min="6908" max="6908" width="16" style="315" bestFit="1" customWidth="1"/>
    <col min="6909" max="6909" width="16.625" style="315" bestFit="1" customWidth="1"/>
    <col min="6910" max="6910" width="13.5" style="315" bestFit="1" customWidth="1"/>
    <col min="6911" max="6912" width="10.875" style="315" bestFit="1" customWidth="1"/>
    <col min="6913" max="6913" width="6.25" style="315" bestFit="1" customWidth="1"/>
    <col min="6914" max="6914" width="8.875" style="315" bestFit="1" customWidth="1"/>
    <col min="6915" max="6915" width="13.875" style="315" bestFit="1" customWidth="1"/>
    <col min="6916" max="6916" width="13.25" style="315" bestFit="1" customWidth="1"/>
    <col min="6917" max="6917" width="16" style="315" bestFit="1" customWidth="1"/>
    <col min="6918" max="6918" width="11.625" style="315" bestFit="1" customWidth="1"/>
    <col min="6919" max="6919" width="16.875" style="315" customWidth="1"/>
    <col min="6920" max="6920" width="13.25" style="315" customWidth="1"/>
    <col min="6921" max="6921" width="18.375" style="315" bestFit="1" customWidth="1"/>
    <col min="6922" max="6922" width="15" style="315" bestFit="1" customWidth="1"/>
    <col min="6923" max="6923" width="14.75" style="315" bestFit="1" customWidth="1"/>
    <col min="6924" max="6924" width="14.625" style="315" bestFit="1" customWidth="1"/>
    <col min="6925" max="6925" width="13.75" style="315" bestFit="1" customWidth="1"/>
    <col min="6926" max="6926" width="14.25" style="315" bestFit="1" customWidth="1"/>
    <col min="6927" max="6927" width="15.125" style="315" customWidth="1"/>
    <col min="6928" max="6928" width="20.5" style="315" bestFit="1" customWidth="1"/>
    <col min="6929" max="6929" width="27.875" style="315" bestFit="1" customWidth="1"/>
    <col min="6930" max="6930" width="6.875" style="315" bestFit="1" customWidth="1"/>
    <col min="6931" max="6931" width="5" style="315" bestFit="1" customWidth="1"/>
    <col min="6932" max="6932" width="8" style="315" bestFit="1" customWidth="1"/>
    <col min="6933" max="6933" width="11.875" style="315" bestFit="1" customWidth="1"/>
    <col min="6934" max="7162" width="9" style="315"/>
    <col min="7163" max="7163" width="3.875" style="315" bestFit="1" customWidth="1"/>
    <col min="7164" max="7164" width="16" style="315" bestFit="1" customWidth="1"/>
    <col min="7165" max="7165" width="16.625" style="315" bestFit="1" customWidth="1"/>
    <col min="7166" max="7166" width="13.5" style="315" bestFit="1" customWidth="1"/>
    <col min="7167" max="7168" width="10.875" style="315" bestFit="1" customWidth="1"/>
    <col min="7169" max="7169" width="6.25" style="315" bestFit="1" customWidth="1"/>
    <col min="7170" max="7170" width="8.875" style="315" bestFit="1" customWidth="1"/>
    <col min="7171" max="7171" width="13.875" style="315" bestFit="1" customWidth="1"/>
    <col min="7172" max="7172" width="13.25" style="315" bestFit="1" customWidth="1"/>
    <col min="7173" max="7173" width="16" style="315" bestFit="1" customWidth="1"/>
    <col min="7174" max="7174" width="11.625" style="315" bestFit="1" customWidth="1"/>
    <col min="7175" max="7175" width="16.875" style="315" customWidth="1"/>
    <col min="7176" max="7176" width="13.25" style="315" customWidth="1"/>
    <col min="7177" max="7177" width="18.375" style="315" bestFit="1" customWidth="1"/>
    <col min="7178" max="7178" width="15" style="315" bestFit="1" customWidth="1"/>
    <col min="7179" max="7179" width="14.75" style="315" bestFit="1" customWidth="1"/>
    <col min="7180" max="7180" width="14.625" style="315" bestFit="1" customWidth="1"/>
    <col min="7181" max="7181" width="13.75" style="315" bestFit="1" customWidth="1"/>
    <col min="7182" max="7182" width="14.25" style="315" bestFit="1" customWidth="1"/>
    <col min="7183" max="7183" width="15.125" style="315" customWidth="1"/>
    <col min="7184" max="7184" width="20.5" style="315" bestFit="1" customWidth="1"/>
    <col min="7185" max="7185" width="27.875" style="315" bestFit="1" customWidth="1"/>
    <col min="7186" max="7186" width="6.875" style="315" bestFit="1" customWidth="1"/>
    <col min="7187" max="7187" width="5" style="315" bestFit="1" customWidth="1"/>
    <col min="7188" max="7188" width="8" style="315" bestFit="1" customWidth="1"/>
    <col min="7189" max="7189" width="11.875" style="315" bestFit="1" customWidth="1"/>
    <col min="7190" max="7418" width="9" style="315"/>
    <col min="7419" max="7419" width="3.875" style="315" bestFit="1" customWidth="1"/>
    <col min="7420" max="7420" width="16" style="315" bestFit="1" customWidth="1"/>
    <col min="7421" max="7421" width="16.625" style="315" bestFit="1" customWidth="1"/>
    <col min="7422" max="7422" width="13.5" style="315" bestFit="1" customWidth="1"/>
    <col min="7423" max="7424" width="10.875" style="315" bestFit="1" customWidth="1"/>
    <col min="7425" max="7425" width="6.25" style="315" bestFit="1" customWidth="1"/>
    <col min="7426" max="7426" width="8.875" style="315" bestFit="1" customWidth="1"/>
    <col min="7427" max="7427" width="13.875" style="315" bestFit="1" customWidth="1"/>
    <col min="7428" max="7428" width="13.25" style="315" bestFit="1" customWidth="1"/>
    <col min="7429" max="7429" width="16" style="315" bestFit="1" customWidth="1"/>
    <col min="7430" max="7430" width="11.625" style="315" bestFit="1" customWidth="1"/>
    <col min="7431" max="7431" width="16.875" style="315" customWidth="1"/>
    <col min="7432" max="7432" width="13.25" style="315" customWidth="1"/>
    <col min="7433" max="7433" width="18.375" style="315" bestFit="1" customWidth="1"/>
    <col min="7434" max="7434" width="15" style="315" bestFit="1" customWidth="1"/>
    <col min="7435" max="7435" width="14.75" style="315" bestFit="1" customWidth="1"/>
    <col min="7436" max="7436" width="14.625" style="315" bestFit="1" customWidth="1"/>
    <col min="7437" max="7437" width="13.75" style="315" bestFit="1" customWidth="1"/>
    <col min="7438" max="7438" width="14.25" style="315" bestFit="1" customWidth="1"/>
    <col min="7439" max="7439" width="15.125" style="315" customWidth="1"/>
    <col min="7440" max="7440" width="20.5" style="315" bestFit="1" customWidth="1"/>
    <col min="7441" max="7441" width="27.875" style="315" bestFit="1" customWidth="1"/>
    <col min="7442" max="7442" width="6.875" style="315" bestFit="1" customWidth="1"/>
    <col min="7443" max="7443" width="5" style="315" bestFit="1" customWidth="1"/>
    <col min="7444" max="7444" width="8" style="315" bestFit="1" customWidth="1"/>
    <col min="7445" max="7445" width="11.875" style="315" bestFit="1" customWidth="1"/>
    <col min="7446" max="7674" width="9" style="315"/>
    <col min="7675" max="7675" width="3.875" style="315" bestFit="1" customWidth="1"/>
    <col min="7676" max="7676" width="16" style="315" bestFit="1" customWidth="1"/>
    <col min="7677" max="7677" width="16.625" style="315" bestFit="1" customWidth="1"/>
    <col min="7678" max="7678" width="13.5" style="315" bestFit="1" customWidth="1"/>
    <col min="7679" max="7680" width="10.875" style="315" bestFit="1" customWidth="1"/>
    <col min="7681" max="7681" width="6.25" style="315" bestFit="1" customWidth="1"/>
    <col min="7682" max="7682" width="8.875" style="315" bestFit="1" customWidth="1"/>
    <col min="7683" max="7683" width="13.875" style="315" bestFit="1" customWidth="1"/>
    <col min="7684" max="7684" width="13.25" style="315" bestFit="1" customWidth="1"/>
    <col min="7685" max="7685" width="16" style="315" bestFit="1" customWidth="1"/>
    <col min="7686" max="7686" width="11.625" style="315" bestFit="1" customWidth="1"/>
    <col min="7687" max="7687" width="16.875" style="315" customWidth="1"/>
    <col min="7688" max="7688" width="13.25" style="315" customWidth="1"/>
    <col min="7689" max="7689" width="18.375" style="315" bestFit="1" customWidth="1"/>
    <col min="7690" max="7690" width="15" style="315" bestFit="1" customWidth="1"/>
    <col min="7691" max="7691" width="14.75" style="315" bestFit="1" customWidth="1"/>
    <col min="7692" max="7692" width="14.625" style="315" bestFit="1" customWidth="1"/>
    <col min="7693" max="7693" width="13.75" style="315" bestFit="1" customWidth="1"/>
    <col min="7694" max="7694" width="14.25" style="315" bestFit="1" customWidth="1"/>
    <col min="7695" max="7695" width="15.125" style="315" customWidth="1"/>
    <col min="7696" max="7696" width="20.5" style="315" bestFit="1" customWidth="1"/>
    <col min="7697" max="7697" width="27.875" style="315" bestFit="1" customWidth="1"/>
    <col min="7698" max="7698" width="6.875" style="315" bestFit="1" customWidth="1"/>
    <col min="7699" max="7699" width="5" style="315" bestFit="1" customWidth="1"/>
    <col min="7700" max="7700" width="8" style="315" bestFit="1" customWidth="1"/>
    <col min="7701" max="7701" width="11.875" style="315" bestFit="1" customWidth="1"/>
    <col min="7702" max="7930" width="9" style="315"/>
    <col min="7931" max="7931" width="3.875" style="315" bestFit="1" customWidth="1"/>
    <col min="7932" max="7932" width="16" style="315" bestFit="1" customWidth="1"/>
    <col min="7933" max="7933" width="16.625" style="315" bestFit="1" customWidth="1"/>
    <col min="7934" max="7934" width="13.5" style="315" bestFit="1" customWidth="1"/>
    <col min="7935" max="7936" width="10.875" style="315" bestFit="1" customWidth="1"/>
    <col min="7937" max="7937" width="6.25" style="315" bestFit="1" customWidth="1"/>
    <col min="7938" max="7938" width="8.875" style="315" bestFit="1" customWidth="1"/>
    <col min="7939" max="7939" width="13.875" style="315" bestFit="1" customWidth="1"/>
    <col min="7940" max="7940" width="13.25" style="315" bestFit="1" customWidth="1"/>
    <col min="7941" max="7941" width="16" style="315" bestFit="1" customWidth="1"/>
    <col min="7942" max="7942" width="11.625" style="315" bestFit="1" customWidth="1"/>
    <col min="7943" max="7943" width="16.875" style="315" customWidth="1"/>
    <col min="7944" max="7944" width="13.25" style="315" customWidth="1"/>
    <col min="7945" max="7945" width="18.375" style="315" bestFit="1" customWidth="1"/>
    <col min="7946" max="7946" width="15" style="315" bestFit="1" customWidth="1"/>
    <col min="7947" max="7947" width="14.75" style="315" bestFit="1" customWidth="1"/>
    <col min="7948" max="7948" width="14.625" style="315" bestFit="1" customWidth="1"/>
    <col min="7949" max="7949" width="13.75" style="315" bestFit="1" customWidth="1"/>
    <col min="7950" max="7950" width="14.25" style="315" bestFit="1" customWidth="1"/>
    <col min="7951" max="7951" width="15.125" style="315" customWidth="1"/>
    <col min="7952" max="7952" width="20.5" style="315" bestFit="1" customWidth="1"/>
    <col min="7953" max="7953" width="27.875" style="315" bestFit="1" customWidth="1"/>
    <col min="7954" max="7954" width="6.875" style="315" bestFit="1" customWidth="1"/>
    <col min="7955" max="7955" width="5" style="315" bestFit="1" customWidth="1"/>
    <col min="7956" max="7956" width="8" style="315" bestFit="1" customWidth="1"/>
    <col min="7957" max="7957" width="11.875" style="315" bestFit="1" customWidth="1"/>
    <col min="7958" max="8186" width="9" style="315"/>
    <col min="8187" max="8187" width="3.875" style="315" bestFit="1" customWidth="1"/>
    <col min="8188" max="8188" width="16" style="315" bestFit="1" customWidth="1"/>
    <col min="8189" max="8189" width="16.625" style="315" bestFit="1" customWidth="1"/>
    <col min="8190" max="8190" width="13.5" style="315" bestFit="1" customWidth="1"/>
    <col min="8191" max="8192" width="10.875" style="315" bestFit="1" customWidth="1"/>
    <col min="8193" max="8193" width="6.25" style="315" bestFit="1" customWidth="1"/>
    <col min="8194" max="8194" width="8.875" style="315" bestFit="1" customWidth="1"/>
    <col min="8195" max="8195" width="13.875" style="315" bestFit="1" customWidth="1"/>
    <col min="8196" max="8196" width="13.25" style="315" bestFit="1" customWidth="1"/>
    <col min="8197" max="8197" width="16" style="315" bestFit="1" customWidth="1"/>
    <col min="8198" max="8198" width="11.625" style="315" bestFit="1" customWidth="1"/>
    <col min="8199" max="8199" width="16.875" style="315" customWidth="1"/>
    <col min="8200" max="8200" width="13.25" style="315" customWidth="1"/>
    <col min="8201" max="8201" width="18.375" style="315" bestFit="1" customWidth="1"/>
    <col min="8202" max="8202" width="15" style="315" bestFit="1" customWidth="1"/>
    <col min="8203" max="8203" width="14.75" style="315" bestFit="1" customWidth="1"/>
    <col min="8204" max="8204" width="14.625" style="315" bestFit="1" customWidth="1"/>
    <col min="8205" max="8205" width="13.75" style="315" bestFit="1" customWidth="1"/>
    <col min="8206" max="8206" width="14.25" style="315" bestFit="1" customWidth="1"/>
    <col min="8207" max="8207" width="15.125" style="315" customWidth="1"/>
    <col min="8208" max="8208" width="20.5" style="315" bestFit="1" customWidth="1"/>
    <col min="8209" max="8209" width="27.875" style="315" bestFit="1" customWidth="1"/>
    <col min="8210" max="8210" width="6.875" style="315" bestFit="1" customWidth="1"/>
    <col min="8211" max="8211" width="5" style="315" bestFit="1" customWidth="1"/>
    <col min="8212" max="8212" width="8" style="315" bestFit="1" customWidth="1"/>
    <col min="8213" max="8213" width="11.875" style="315" bestFit="1" customWidth="1"/>
    <col min="8214" max="8442" width="9" style="315"/>
    <col min="8443" max="8443" width="3.875" style="315" bestFit="1" customWidth="1"/>
    <col min="8444" max="8444" width="16" style="315" bestFit="1" customWidth="1"/>
    <col min="8445" max="8445" width="16.625" style="315" bestFit="1" customWidth="1"/>
    <col min="8446" max="8446" width="13.5" style="315" bestFit="1" customWidth="1"/>
    <col min="8447" max="8448" width="10.875" style="315" bestFit="1" customWidth="1"/>
    <col min="8449" max="8449" width="6.25" style="315" bestFit="1" customWidth="1"/>
    <col min="8450" max="8450" width="8.875" style="315" bestFit="1" customWidth="1"/>
    <col min="8451" max="8451" width="13.875" style="315" bestFit="1" customWidth="1"/>
    <col min="8452" max="8452" width="13.25" style="315" bestFit="1" customWidth="1"/>
    <col min="8453" max="8453" width="16" style="315" bestFit="1" customWidth="1"/>
    <col min="8454" max="8454" width="11.625" style="315" bestFit="1" customWidth="1"/>
    <col min="8455" max="8455" width="16.875" style="315" customWidth="1"/>
    <col min="8456" max="8456" width="13.25" style="315" customWidth="1"/>
    <col min="8457" max="8457" width="18.375" style="315" bestFit="1" customWidth="1"/>
    <col min="8458" max="8458" width="15" style="315" bestFit="1" customWidth="1"/>
    <col min="8459" max="8459" width="14.75" style="315" bestFit="1" customWidth="1"/>
    <col min="8460" max="8460" width="14.625" style="315" bestFit="1" customWidth="1"/>
    <col min="8461" max="8461" width="13.75" style="315" bestFit="1" customWidth="1"/>
    <col min="8462" max="8462" width="14.25" style="315" bestFit="1" customWidth="1"/>
    <col min="8463" max="8463" width="15.125" style="315" customWidth="1"/>
    <col min="8464" max="8464" width="20.5" style="315" bestFit="1" customWidth="1"/>
    <col min="8465" max="8465" width="27.875" style="315" bestFit="1" customWidth="1"/>
    <col min="8466" max="8466" width="6.875" style="315" bestFit="1" customWidth="1"/>
    <col min="8467" max="8467" width="5" style="315" bestFit="1" customWidth="1"/>
    <col min="8468" max="8468" width="8" style="315" bestFit="1" customWidth="1"/>
    <col min="8469" max="8469" width="11.875" style="315" bestFit="1" customWidth="1"/>
    <col min="8470" max="8698" width="9" style="315"/>
    <col min="8699" max="8699" width="3.875" style="315" bestFit="1" customWidth="1"/>
    <col min="8700" max="8700" width="16" style="315" bestFit="1" customWidth="1"/>
    <col min="8701" max="8701" width="16.625" style="315" bestFit="1" customWidth="1"/>
    <col min="8702" max="8702" width="13.5" style="315" bestFit="1" customWidth="1"/>
    <col min="8703" max="8704" width="10.875" style="315" bestFit="1" customWidth="1"/>
    <col min="8705" max="8705" width="6.25" style="315" bestFit="1" customWidth="1"/>
    <col min="8706" max="8706" width="8.875" style="315" bestFit="1" customWidth="1"/>
    <col min="8707" max="8707" width="13.875" style="315" bestFit="1" customWidth="1"/>
    <col min="8708" max="8708" width="13.25" style="315" bestFit="1" customWidth="1"/>
    <col min="8709" max="8709" width="16" style="315" bestFit="1" customWidth="1"/>
    <col min="8710" max="8710" width="11.625" style="315" bestFit="1" customWidth="1"/>
    <col min="8711" max="8711" width="16.875" style="315" customWidth="1"/>
    <col min="8712" max="8712" width="13.25" style="315" customWidth="1"/>
    <col min="8713" max="8713" width="18.375" style="315" bestFit="1" customWidth="1"/>
    <col min="8714" max="8714" width="15" style="315" bestFit="1" customWidth="1"/>
    <col min="8715" max="8715" width="14.75" style="315" bestFit="1" customWidth="1"/>
    <col min="8716" max="8716" width="14.625" style="315" bestFit="1" customWidth="1"/>
    <col min="8717" max="8717" width="13.75" style="315" bestFit="1" customWidth="1"/>
    <col min="8718" max="8718" width="14.25" style="315" bestFit="1" customWidth="1"/>
    <col min="8719" max="8719" width="15.125" style="315" customWidth="1"/>
    <col min="8720" max="8720" width="20.5" style="315" bestFit="1" customWidth="1"/>
    <col min="8721" max="8721" width="27.875" style="315" bestFit="1" customWidth="1"/>
    <col min="8722" max="8722" width="6.875" style="315" bestFit="1" customWidth="1"/>
    <col min="8723" max="8723" width="5" style="315" bestFit="1" customWidth="1"/>
    <col min="8724" max="8724" width="8" style="315" bestFit="1" customWidth="1"/>
    <col min="8725" max="8725" width="11.875" style="315" bestFit="1" customWidth="1"/>
    <col min="8726" max="8954" width="9" style="315"/>
    <col min="8955" max="8955" width="3.875" style="315" bestFit="1" customWidth="1"/>
    <col min="8956" max="8956" width="16" style="315" bestFit="1" customWidth="1"/>
    <col min="8957" max="8957" width="16.625" style="315" bestFit="1" customWidth="1"/>
    <col min="8958" max="8958" width="13.5" style="315" bestFit="1" customWidth="1"/>
    <col min="8959" max="8960" width="10.875" style="315" bestFit="1" customWidth="1"/>
    <col min="8961" max="8961" width="6.25" style="315" bestFit="1" customWidth="1"/>
    <col min="8962" max="8962" width="8.875" style="315" bestFit="1" customWidth="1"/>
    <col min="8963" max="8963" width="13.875" style="315" bestFit="1" customWidth="1"/>
    <col min="8964" max="8964" width="13.25" style="315" bestFit="1" customWidth="1"/>
    <col min="8965" max="8965" width="16" style="315" bestFit="1" customWidth="1"/>
    <col min="8966" max="8966" width="11.625" style="315" bestFit="1" customWidth="1"/>
    <col min="8967" max="8967" width="16.875" style="315" customWidth="1"/>
    <col min="8968" max="8968" width="13.25" style="315" customWidth="1"/>
    <col min="8969" max="8969" width="18.375" style="315" bestFit="1" customWidth="1"/>
    <col min="8970" max="8970" width="15" style="315" bestFit="1" customWidth="1"/>
    <col min="8971" max="8971" width="14.75" style="315" bestFit="1" customWidth="1"/>
    <col min="8972" max="8972" width="14.625" style="315" bestFit="1" customWidth="1"/>
    <col min="8973" max="8973" width="13.75" style="315" bestFit="1" customWidth="1"/>
    <col min="8974" max="8974" width="14.25" style="315" bestFit="1" customWidth="1"/>
    <col min="8975" max="8975" width="15.125" style="315" customWidth="1"/>
    <col min="8976" max="8976" width="20.5" style="315" bestFit="1" customWidth="1"/>
    <col min="8977" max="8977" width="27.875" style="315" bestFit="1" customWidth="1"/>
    <col min="8978" max="8978" width="6.875" style="315" bestFit="1" customWidth="1"/>
    <col min="8979" max="8979" width="5" style="315" bestFit="1" customWidth="1"/>
    <col min="8980" max="8980" width="8" style="315" bestFit="1" customWidth="1"/>
    <col min="8981" max="8981" width="11.875" style="315" bestFit="1" customWidth="1"/>
    <col min="8982" max="9210" width="9" style="315"/>
    <col min="9211" max="9211" width="3.875" style="315" bestFit="1" customWidth="1"/>
    <col min="9212" max="9212" width="16" style="315" bestFit="1" customWidth="1"/>
    <col min="9213" max="9213" width="16.625" style="315" bestFit="1" customWidth="1"/>
    <col min="9214" max="9214" width="13.5" style="315" bestFit="1" customWidth="1"/>
    <col min="9215" max="9216" width="10.875" style="315" bestFit="1" customWidth="1"/>
    <col min="9217" max="9217" width="6.25" style="315" bestFit="1" customWidth="1"/>
    <col min="9218" max="9218" width="8.875" style="315" bestFit="1" customWidth="1"/>
    <col min="9219" max="9219" width="13.875" style="315" bestFit="1" customWidth="1"/>
    <col min="9220" max="9220" width="13.25" style="315" bestFit="1" customWidth="1"/>
    <col min="9221" max="9221" width="16" style="315" bestFit="1" customWidth="1"/>
    <col min="9222" max="9222" width="11.625" style="315" bestFit="1" customWidth="1"/>
    <col min="9223" max="9223" width="16.875" style="315" customWidth="1"/>
    <col min="9224" max="9224" width="13.25" style="315" customWidth="1"/>
    <col min="9225" max="9225" width="18.375" style="315" bestFit="1" customWidth="1"/>
    <col min="9226" max="9226" width="15" style="315" bestFit="1" customWidth="1"/>
    <col min="9227" max="9227" width="14.75" style="315" bestFit="1" customWidth="1"/>
    <col min="9228" max="9228" width="14.625" style="315" bestFit="1" customWidth="1"/>
    <col min="9229" max="9229" width="13.75" style="315" bestFit="1" customWidth="1"/>
    <col min="9230" max="9230" width="14.25" style="315" bestFit="1" customWidth="1"/>
    <col min="9231" max="9231" width="15.125" style="315" customWidth="1"/>
    <col min="9232" max="9232" width="20.5" style="315" bestFit="1" customWidth="1"/>
    <col min="9233" max="9233" width="27.875" style="315" bestFit="1" customWidth="1"/>
    <col min="9234" max="9234" width="6.875" style="315" bestFit="1" customWidth="1"/>
    <col min="9235" max="9235" width="5" style="315" bestFit="1" customWidth="1"/>
    <col min="9236" max="9236" width="8" style="315" bestFit="1" customWidth="1"/>
    <col min="9237" max="9237" width="11.875" style="315" bestFit="1" customWidth="1"/>
    <col min="9238" max="9466" width="9" style="315"/>
    <col min="9467" max="9467" width="3.875" style="315" bestFit="1" customWidth="1"/>
    <col min="9468" max="9468" width="16" style="315" bestFit="1" customWidth="1"/>
    <col min="9469" max="9469" width="16.625" style="315" bestFit="1" customWidth="1"/>
    <col min="9470" max="9470" width="13.5" style="315" bestFit="1" customWidth="1"/>
    <col min="9471" max="9472" width="10.875" style="315" bestFit="1" customWidth="1"/>
    <col min="9473" max="9473" width="6.25" style="315" bestFit="1" customWidth="1"/>
    <col min="9474" max="9474" width="8.875" style="315" bestFit="1" customWidth="1"/>
    <col min="9475" max="9475" width="13.875" style="315" bestFit="1" customWidth="1"/>
    <col min="9476" max="9476" width="13.25" style="315" bestFit="1" customWidth="1"/>
    <col min="9477" max="9477" width="16" style="315" bestFit="1" customWidth="1"/>
    <col min="9478" max="9478" width="11.625" style="315" bestFit="1" customWidth="1"/>
    <col min="9479" max="9479" width="16.875" style="315" customWidth="1"/>
    <col min="9480" max="9480" width="13.25" style="315" customWidth="1"/>
    <col min="9481" max="9481" width="18.375" style="315" bestFit="1" customWidth="1"/>
    <col min="9482" max="9482" width="15" style="315" bestFit="1" customWidth="1"/>
    <col min="9483" max="9483" width="14.75" style="315" bestFit="1" customWidth="1"/>
    <col min="9484" max="9484" width="14.625" style="315" bestFit="1" customWidth="1"/>
    <col min="9485" max="9485" width="13.75" style="315" bestFit="1" customWidth="1"/>
    <col min="9486" max="9486" width="14.25" style="315" bestFit="1" customWidth="1"/>
    <col min="9487" max="9487" width="15.125" style="315" customWidth="1"/>
    <col min="9488" max="9488" width="20.5" style="315" bestFit="1" customWidth="1"/>
    <col min="9489" max="9489" width="27.875" style="315" bestFit="1" customWidth="1"/>
    <col min="9490" max="9490" width="6.875" style="315" bestFit="1" customWidth="1"/>
    <col min="9491" max="9491" width="5" style="315" bestFit="1" customWidth="1"/>
    <col min="9492" max="9492" width="8" style="315" bestFit="1" customWidth="1"/>
    <col min="9493" max="9493" width="11.875" style="315" bestFit="1" customWidth="1"/>
    <col min="9494" max="9722" width="9" style="315"/>
    <col min="9723" max="9723" width="3.875" style="315" bestFit="1" customWidth="1"/>
    <col min="9724" max="9724" width="16" style="315" bestFit="1" customWidth="1"/>
    <col min="9725" max="9725" width="16.625" style="315" bestFit="1" customWidth="1"/>
    <col min="9726" max="9726" width="13.5" style="315" bestFit="1" customWidth="1"/>
    <col min="9727" max="9728" width="10.875" style="315" bestFit="1" customWidth="1"/>
    <col min="9729" max="9729" width="6.25" style="315" bestFit="1" customWidth="1"/>
    <col min="9730" max="9730" width="8.875" style="315" bestFit="1" customWidth="1"/>
    <col min="9731" max="9731" width="13.875" style="315" bestFit="1" customWidth="1"/>
    <col min="9732" max="9732" width="13.25" style="315" bestFit="1" customWidth="1"/>
    <col min="9733" max="9733" width="16" style="315" bestFit="1" customWidth="1"/>
    <col min="9734" max="9734" width="11.625" style="315" bestFit="1" customWidth="1"/>
    <col min="9735" max="9735" width="16.875" style="315" customWidth="1"/>
    <col min="9736" max="9736" width="13.25" style="315" customWidth="1"/>
    <col min="9737" max="9737" width="18.375" style="315" bestFit="1" customWidth="1"/>
    <col min="9738" max="9738" width="15" style="315" bestFit="1" customWidth="1"/>
    <col min="9739" max="9739" width="14.75" style="315" bestFit="1" customWidth="1"/>
    <col min="9740" max="9740" width="14.625" style="315" bestFit="1" customWidth="1"/>
    <col min="9741" max="9741" width="13.75" style="315" bestFit="1" customWidth="1"/>
    <col min="9742" max="9742" width="14.25" style="315" bestFit="1" customWidth="1"/>
    <col min="9743" max="9743" width="15.125" style="315" customWidth="1"/>
    <col min="9744" max="9744" width="20.5" style="315" bestFit="1" customWidth="1"/>
    <col min="9745" max="9745" width="27.875" style="315" bestFit="1" customWidth="1"/>
    <col min="9746" max="9746" width="6.875" style="315" bestFit="1" customWidth="1"/>
    <col min="9747" max="9747" width="5" style="315" bestFit="1" customWidth="1"/>
    <col min="9748" max="9748" width="8" style="315" bestFit="1" customWidth="1"/>
    <col min="9749" max="9749" width="11.875" style="315" bestFit="1" customWidth="1"/>
    <col min="9750" max="9978" width="9" style="315"/>
    <col min="9979" max="9979" width="3.875" style="315" bestFit="1" customWidth="1"/>
    <col min="9980" max="9980" width="16" style="315" bestFit="1" customWidth="1"/>
    <col min="9981" max="9981" width="16.625" style="315" bestFit="1" customWidth="1"/>
    <col min="9982" max="9982" width="13.5" style="315" bestFit="1" customWidth="1"/>
    <col min="9983" max="9984" width="10.875" style="315" bestFit="1" customWidth="1"/>
    <col min="9985" max="9985" width="6.25" style="315" bestFit="1" customWidth="1"/>
    <col min="9986" max="9986" width="8.875" style="315" bestFit="1" customWidth="1"/>
    <col min="9987" max="9987" width="13.875" style="315" bestFit="1" customWidth="1"/>
    <col min="9988" max="9988" width="13.25" style="315" bestFit="1" customWidth="1"/>
    <col min="9989" max="9989" width="16" style="315" bestFit="1" customWidth="1"/>
    <col min="9990" max="9990" width="11.625" style="315" bestFit="1" customWidth="1"/>
    <col min="9991" max="9991" width="16.875" style="315" customWidth="1"/>
    <col min="9992" max="9992" width="13.25" style="315" customWidth="1"/>
    <col min="9993" max="9993" width="18.375" style="315" bestFit="1" customWidth="1"/>
    <col min="9994" max="9994" width="15" style="315" bestFit="1" customWidth="1"/>
    <col min="9995" max="9995" width="14.75" style="315" bestFit="1" customWidth="1"/>
    <col min="9996" max="9996" width="14.625" style="315" bestFit="1" customWidth="1"/>
    <col min="9997" max="9997" width="13.75" style="315" bestFit="1" customWidth="1"/>
    <col min="9998" max="9998" width="14.25" style="315" bestFit="1" customWidth="1"/>
    <col min="9999" max="9999" width="15.125" style="315" customWidth="1"/>
    <col min="10000" max="10000" width="20.5" style="315" bestFit="1" customWidth="1"/>
    <col min="10001" max="10001" width="27.875" style="315" bestFit="1" customWidth="1"/>
    <col min="10002" max="10002" width="6.875" style="315" bestFit="1" customWidth="1"/>
    <col min="10003" max="10003" width="5" style="315" bestFit="1" customWidth="1"/>
    <col min="10004" max="10004" width="8" style="315" bestFit="1" customWidth="1"/>
    <col min="10005" max="10005" width="11.875" style="315" bestFit="1" customWidth="1"/>
    <col min="10006" max="10234" width="9" style="315"/>
    <col min="10235" max="10235" width="3.875" style="315" bestFit="1" customWidth="1"/>
    <col min="10236" max="10236" width="16" style="315" bestFit="1" customWidth="1"/>
    <col min="10237" max="10237" width="16.625" style="315" bestFit="1" customWidth="1"/>
    <col min="10238" max="10238" width="13.5" style="315" bestFit="1" customWidth="1"/>
    <col min="10239" max="10240" width="10.875" style="315" bestFit="1" customWidth="1"/>
    <col min="10241" max="10241" width="6.25" style="315" bestFit="1" customWidth="1"/>
    <col min="10242" max="10242" width="8.875" style="315" bestFit="1" customWidth="1"/>
    <col min="10243" max="10243" width="13.875" style="315" bestFit="1" customWidth="1"/>
    <col min="10244" max="10244" width="13.25" style="315" bestFit="1" customWidth="1"/>
    <col min="10245" max="10245" width="16" style="315" bestFit="1" customWidth="1"/>
    <col min="10246" max="10246" width="11.625" style="315" bestFit="1" customWidth="1"/>
    <col min="10247" max="10247" width="16.875" style="315" customWidth="1"/>
    <col min="10248" max="10248" width="13.25" style="315" customWidth="1"/>
    <col min="10249" max="10249" width="18.375" style="315" bestFit="1" customWidth="1"/>
    <col min="10250" max="10250" width="15" style="315" bestFit="1" customWidth="1"/>
    <col min="10251" max="10251" width="14.75" style="315" bestFit="1" customWidth="1"/>
    <col min="10252" max="10252" width="14.625" style="315" bestFit="1" customWidth="1"/>
    <col min="10253" max="10253" width="13.75" style="315" bestFit="1" customWidth="1"/>
    <col min="10254" max="10254" width="14.25" style="315" bestFit="1" customWidth="1"/>
    <col min="10255" max="10255" width="15.125" style="315" customWidth="1"/>
    <col min="10256" max="10256" width="20.5" style="315" bestFit="1" customWidth="1"/>
    <col min="10257" max="10257" width="27.875" style="315" bestFit="1" customWidth="1"/>
    <col min="10258" max="10258" width="6.875" style="315" bestFit="1" customWidth="1"/>
    <col min="10259" max="10259" width="5" style="315" bestFit="1" customWidth="1"/>
    <col min="10260" max="10260" width="8" style="315" bestFit="1" customWidth="1"/>
    <col min="10261" max="10261" width="11.875" style="315" bestFit="1" customWidth="1"/>
    <col min="10262" max="10490" width="9" style="315"/>
    <col min="10491" max="10491" width="3.875" style="315" bestFit="1" customWidth="1"/>
    <col min="10492" max="10492" width="16" style="315" bestFit="1" customWidth="1"/>
    <col min="10493" max="10493" width="16.625" style="315" bestFit="1" customWidth="1"/>
    <col min="10494" max="10494" width="13.5" style="315" bestFit="1" customWidth="1"/>
    <col min="10495" max="10496" width="10.875" style="315" bestFit="1" customWidth="1"/>
    <col min="10497" max="10497" width="6.25" style="315" bestFit="1" customWidth="1"/>
    <col min="10498" max="10498" width="8.875" style="315" bestFit="1" customWidth="1"/>
    <col min="10499" max="10499" width="13.875" style="315" bestFit="1" customWidth="1"/>
    <col min="10500" max="10500" width="13.25" style="315" bestFit="1" customWidth="1"/>
    <col min="10501" max="10501" width="16" style="315" bestFit="1" customWidth="1"/>
    <col min="10502" max="10502" width="11.625" style="315" bestFit="1" customWidth="1"/>
    <col min="10503" max="10503" width="16.875" style="315" customWidth="1"/>
    <col min="10504" max="10504" width="13.25" style="315" customWidth="1"/>
    <col min="10505" max="10505" width="18.375" style="315" bestFit="1" customWidth="1"/>
    <col min="10506" max="10506" width="15" style="315" bestFit="1" customWidth="1"/>
    <col min="10507" max="10507" width="14.75" style="315" bestFit="1" customWidth="1"/>
    <col min="10508" max="10508" width="14.625" style="315" bestFit="1" customWidth="1"/>
    <col min="10509" max="10509" width="13.75" style="315" bestFit="1" customWidth="1"/>
    <col min="10510" max="10510" width="14.25" style="315" bestFit="1" customWidth="1"/>
    <col min="10511" max="10511" width="15.125" style="315" customWidth="1"/>
    <col min="10512" max="10512" width="20.5" style="315" bestFit="1" customWidth="1"/>
    <col min="10513" max="10513" width="27.875" style="315" bestFit="1" customWidth="1"/>
    <col min="10514" max="10514" width="6.875" style="315" bestFit="1" customWidth="1"/>
    <col min="10515" max="10515" width="5" style="315" bestFit="1" customWidth="1"/>
    <col min="10516" max="10516" width="8" style="315" bestFit="1" customWidth="1"/>
    <col min="10517" max="10517" width="11.875" style="315" bestFit="1" customWidth="1"/>
    <col min="10518" max="10746" width="9" style="315"/>
    <col min="10747" max="10747" width="3.875" style="315" bestFit="1" customWidth="1"/>
    <col min="10748" max="10748" width="16" style="315" bestFit="1" customWidth="1"/>
    <col min="10749" max="10749" width="16.625" style="315" bestFit="1" customWidth="1"/>
    <col min="10750" max="10750" width="13.5" style="315" bestFit="1" customWidth="1"/>
    <col min="10751" max="10752" width="10.875" style="315" bestFit="1" customWidth="1"/>
    <col min="10753" max="10753" width="6.25" style="315" bestFit="1" customWidth="1"/>
    <col min="10754" max="10754" width="8.875" style="315" bestFit="1" customWidth="1"/>
    <col min="10755" max="10755" width="13.875" style="315" bestFit="1" customWidth="1"/>
    <col min="10756" max="10756" width="13.25" style="315" bestFit="1" customWidth="1"/>
    <col min="10757" max="10757" width="16" style="315" bestFit="1" customWidth="1"/>
    <col min="10758" max="10758" width="11.625" style="315" bestFit="1" customWidth="1"/>
    <col min="10759" max="10759" width="16.875" style="315" customWidth="1"/>
    <col min="10760" max="10760" width="13.25" style="315" customWidth="1"/>
    <col min="10761" max="10761" width="18.375" style="315" bestFit="1" customWidth="1"/>
    <col min="10762" max="10762" width="15" style="315" bestFit="1" customWidth="1"/>
    <col min="10763" max="10763" width="14.75" style="315" bestFit="1" customWidth="1"/>
    <col min="10764" max="10764" width="14.625" style="315" bestFit="1" customWidth="1"/>
    <col min="10765" max="10765" width="13.75" style="315" bestFit="1" customWidth="1"/>
    <col min="10766" max="10766" width="14.25" style="315" bestFit="1" customWidth="1"/>
    <col min="10767" max="10767" width="15.125" style="315" customWidth="1"/>
    <col min="10768" max="10768" width="20.5" style="315" bestFit="1" customWidth="1"/>
    <col min="10769" max="10769" width="27.875" style="315" bestFit="1" customWidth="1"/>
    <col min="10770" max="10770" width="6.875" style="315" bestFit="1" customWidth="1"/>
    <col min="10771" max="10771" width="5" style="315" bestFit="1" customWidth="1"/>
    <col min="10772" max="10772" width="8" style="315" bestFit="1" customWidth="1"/>
    <col min="10773" max="10773" width="11.875" style="315" bestFit="1" customWidth="1"/>
    <col min="10774" max="11002" width="9" style="315"/>
    <col min="11003" max="11003" width="3.875" style="315" bestFit="1" customWidth="1"/>
    <col min="11004" max="11004" width="16" style="315" bestFit="1" customWidth="1"/>
    <col min="11005" max="11005" width="16.625" style="315" bestFit="1" customWidth="1"/>
    <col min="11006" max="11006" width="13.5" style="315" bestFit="1" customWidth="1"/>
    <col min="11007" max="11008" width="10.875" style="315" bestFit="1" customWidth="1"/>
    <col min="11009" max="11009" width="6.25" style="315" bestFit="1" customWidth="1"/>
    <col min="11010" max="11010" width="8.875" style="315" bestFit="1" customWidth="1"/>
    <col min="11011" max="11011" width="13.875" style="315" bestFit="1" customWidth="1"/>
    <col min="11012" max="11012" width="13.25" style="315" bestFit="1" customWidth="1"/>
    <col min="11013" max="11013" width="16" style="315" bestFit="1" customWidth="1"/>
    <col min="11014" max="11014" width="11.625" style="315" bestFit="1" customWidth="1"/>
    <col min="11015" max="11015" width="16.875" style="315" customWidth="1"/>
    <col min="11016" max="11016" width="13.25" style="315" customWidth="1"/>
    <col min="11017" max="11017" width="18.375" style="315" bestFit="1" customWidth="1"/>
    <col min="11018" max="11018" width="15" style="315" bestFit="1" customWidth="1"/>
    <col min="11019" max="11019" width="14.75" style="315" bestFit="1" customWidth="1"/>
    <col min="11020" max="11020" width="14.625" style="315" bestFit="1" customWidth="1"/>
    <col min="11021" max="11021" width="13.75" style="315" bestFit="1" customWidth="1"/>
    <col min="11022" max="11022" width="14.25" style="315" bestFit="1" customWidth="1"/>
    <col min="11023" max="11023" width="15.125" style="315" customWidth="1"/>
    <col min="11024" max="11024" width="20.5" style="315" bestFit="1" customWidth="1"/>
    <col min="11025" max="11025" width="27.875" style="315" bestFit="1" customWidth="1"/>
    <col min="11026" max="11026" width="6.875" style="315" bestFit="1" customWidth="1"/>
    <col min="11027" max="11027" width="5" style="315" bestFit="1" customWidth="1"/>
    <col min="11028" max="11028" width="8" style="315" bestFit="1" customWidth="1"/>
    <col min="11029" max="11029" width="11.875" style="315" bestFit="1" customWidth="1"/>
    <col min="11030" max="11258" width="9" style="315"/>
    <col min="11259" max="11259" width="3.875" style="315" bestFit="1" customWidth="1"/>
    <col min="11260" max="11260" width="16" style="315" bestFit="1" customWidth="1"/>
    <col min="11261" max="11261" width="16.625" style="315" bestFit="1" customWidth="1"/>
    <col min="11262" max="11262" width="13.5" style="315" bestFit="1" customWidth="1"/>
    <col min="11263" max="11264" width="10.875" style="315" bestFit="1" customWidth="1"/>
    <col min="11265" max="11265" width="6.25" style="315" bestFit="1" customWidth="1"/>
    <col min="11266" max="11266" width="8.875" style="315" bestFit="1" customWidth="1"/>
    <col min="11267" max="11267" width="13.875" style="315" bestFit="1" customWidth="1"/>
    <col min="11268" max="11268" width="13.25" style="315" bestFit="1" customWidth="1"/>
    <col min="11269" max="11269" width="16" style="315" bestFit="1" customWidth="1"/>
    <col min="11270" max="11270" width="11.625" style="315" bestFit="1" customWidth="1"/>
    <col min="11271" max="11271" width="16.875" style="315" customWidth="1"/>
    <col min="11272" max="11272" width="13.25" style="315" customWidth="1"/>
    <col min="11273" max="11273" width="18.375" style="315" bestFit="1" customWidth="1"/>
    <col min="11274" max="11274" width="15" style="315" bestFit="1" customWidth="1"/>
    <col min="11275" max="11275" width="14.75" style="315" bestFit="1" customWidth="1"/>
    <col min="11276" max="11276" width="14.625" style="315" bestFit="1" customWidth="1"/>
    <col min="11277" max="11277" width="13.75" style="315" bestFit="1" customWidth="1"/>
    <col min="11278" max="11278" width="14.25" style="315" bestFit="1" customWidth="1"/>
    <col min="11279" max="11279" width="15.125" style="315" customWidth="1"/>
    <col min="11280" max="11280" width="20.5" style="315" bestFit="1" customWidth="1"/>
    <col min="11281" max="11281" width="27.875" style="315" bestFit="1" customWidth="1"/>
    <col min="11282" max="11282" width="6.875" style="315" bestFit="1" customWidth="1"/>
    <col min="11283" max="11283" width="5" style="315" bestFit="1" customWidth="1"/>
    <col min="11284" max="11284" width="8" style="315" bestFit="1" customWidth="1"/>
    <col min="11285" max="11285" width="11.875" style="315" bestFit="1" customWidth="1"/>
    <col min="11286" max="11514" width="9" style="315"/>
    <col min="11515" max="11515" width="3.875" style="315" bestFit="1" customWidth="1"/>
    <col min="11516" max="11516" width="16" style="315" bestFit="1" customWidth="1"/>
    <col min="11517" max="11517" width="16.625" style="315" bestFit="1" customWidth="1"/>
    <col min="11518" max="11518" width="13.5" style="315" bestFit="1" customWidth="1"/>
    <col min="11519" max="11520" width="10.875" style="315" bestFit="1" customWidth="1"/>
    <col min="11521" max="11521" width="6.25" style="315" bestFit="1" customWidth="1"/>
    <col min="11522" max="11522" width="8.875" style="315" bestFit="1" customWidth="1"/>
    <col min="11523" max="11523" width="13.875" style="315" bestFit="1" customWidth="1"/>
    <col min="11524" max="11524" width="13.25" style="315" bestFit="1" customWidth="1"/>
    <col min="11525" max="11525" width="16" style="315" bestFit="1" customWidth="1"/>
    <col min="11526" max="11526" width="11.625" style="315" bestFit="1" customWidth="1"/>
    <col min="11527" max="11527" width="16.875" style="315" customWidth="1"/>
    <col min="11528" max="11528" width="13.25" style="315" customWidth="1"/>
    <col min="11529" max="11529" width="18.375" style="315" bestFit="1" customWidth="1"/>
    <col min="11530" max="11530" width="15" style="315" bestFit="1" customWidth="1"/>
    <col min="11531" max="11531" width="14.75" style="315" bestFit="1" customWidth="1"/>
    <col min="11532" max="11532" width="14.625" style="315" bestFit="1" customWidth="1"/>
    <col min="11533" max="11533" width="13.75" style="315" bestFit="1" customWidth="1"/>
    <col min="11534" max="11534" width="14.25" style="315" bestFit="1" customWidth="1"/>
    <col min="11535" max="11535" width="15.125" style="315" customWidth="1"/>
    <col min="11536" max="11536" width="20.5" style="315" bestFit="1" customWidth="1"/>
    <col min="11537" max="11537" width="27.875" style="315" bestFit="1" customWidth="1"/>
    <col min="11538" max="11538" width="6.875" style="315" bestFit="1" customWidth="1"/>
    <col min="11539" max="11539" width="5" style="315" bestFit="1" customWidth="1"/>
    <col min="11540" max="11540" width="8" style="315" bestFit="1" customWidth="1"/>
    <col min="11541" max="11541" width="11.875" style="315" bestFit="1" customWidth="1"/>
    <col min="11542" max="11770" width="9" style="315"/>
    <col min="11771" max="11771" width="3.875" style="315" bestFit="1" customWidth="1"/>
    <col min="11772" max="11772" width="16" style="315" bestFit="1" customWidth="1"/>
    <col min="11773" max="11773" width="16.625" style="315" bestFit="1" customWidth="1"/>
    <col min="11774" max="11774" width="13.5" style="315" bestFit="1" customWidth="1"/>
    <col min="11775" max="11776" width="10.875" style="315" bestFit="1" customWidth="1"/>
    <col min="11777" max="11777" width="6.25" style="315" bestFit="1" customWidth="1"/>
    <col min="11778" max="11778" width="8.875" style="315" bestFit="1" customWidth="1"/>
    <col min="11779" max="11779" width="13.875" style="315" bestFit="1" customWidth="1"/>
    <col min="11780" max="11780" width="13.25" style="315" bestFit="1" customWidth="1"/>
    <col min="11781" max="11781" width="16" style="315" bestFit="1" customWidth="1"/>
    <col min="11782" max="11782" width="11.625" style="315" bestFit="1" customWidth="1"/>
    <col min="11783" max="11783" width="16.875" style="315" customWidth="1"/>
    <col min="11784" max="11784" width="13.25" style="315" customWidth="1"/>
    <col min="11785" max="11785" width="18.375" style="315" bestFit="1" customWidth="1"/>
    <col min="11786" max="11786" width="15" style="315" bestFit="1" customWidth="1"/>
    <col min="11787" max="11787" width="14.75" style="315" bestFit="1" customWidth="1"/>
    <col min="11788" max="11788" width="14.625" style="315" bestFit="1" customWidth="1"/>
    <col min="11789" max="11789" width="13.75" style="315" bestFit="1" customWidth="1"/>
    <col min="11790" max="11790" width="14.25" style="315" bestFit="1" customWidth="1"/>
    <col min="11791" max="11791" width="15.125" style="315" customWidth="1"/>
    <col min="11792" max="11792" width="20.5" style="315" bestFit="1" customWidth="1"/>
    <col min="11793" max="11793" width="27.875" style="315" bestFit="1" customWidth="1"/>
    <col min="11794" max="11794" width="6.875" style="315" bestFit="1" customWidth="1"/>
    <col min="11795" max="11795" width="5" style="315" bestFit="1" customWidth="1"/>
    <col min="11796" max="11796" width="8" style="315" bestFit="1" customWidth="1"/>
    <col min="11797" max="11797" width="11.875" style="315" bestFit="1" customWidth="1"/>
    <col min="11798" max="12026" width="9" style="315"/>
    <col min="12027" max="12027" width="3.875" style="315" bestFit="1" customWidth="1"/>
    <col min="12028" max="12028" width="16" style="315" bestFit="1" customWidth="1"/>
    <col min="12029" max="12029" width="16.625" style="315" bestFit="1" customWidth="1"/>
    <col min="12030" max="12030" width="13.5" style="315" bestFit="1" customWidth="1"/>
    <col min="12031" max="12032" width="10.875" style="315" bestFit="1" customWidth="1"/>
    <col min="12033" max="12033" width="6.25" style="315" bestFit="1" customWidth="1"/>
    <col min="12034" max="12034" width="8.875" style="315" bestFit="1" customWidth="1"/>
    <col min="12035" max="12035" width="13.875" style="315" bestFit="1" customWidth="1"/>
    <col min="12036" max="12036" width="13.25" style="315" bestFit="1" customWidth="1"/>
    <col min="12037" max="12037" width="16" style="315" bestFit="1" customWidth="1"/>
    <col min="12038" max="12038" width="11.625" style="315" bestFit="1" customWidth="1"/>
    <col min="12039" max="12039" width="16.875" style="315" customWidth="1"/>
    <col min="12040" max="12040" width="13.25" style="315" customWidth="1"/>
    <col min="12041" max="12041" width="18.375" style="315" bestFit="1" customWidth="1"/>
    <col min="12042" max="12042" width="15" style="315" bestFit="1" customWidth="1"/>
    <col min="12043" max="12043" width="14.75" style="315" bestFit="1" customWidth="1"/>
    <col min="12044" max="12044" width="14.625" style="315" bestFit="1" customWidth="1"/>
    <col min="12045" max="12045" width="13.75" style="315" bestFit="1" customWidth="1"/>
    <col min="12046" max="12046" width="14.25" style="315" bestFit="1" customWidth="1"/>
    <col min="12047" max="12047" width="15.125" style="315" customWidth="1"/>
    <col min="12048" max="12048" width="20.5" style="315" bestFit="1" customWidth="1"/>
    <col min="12049" max="12049" width="27.875" style="315" bestFit="1" customWidth="1"/>
    <col min="12050" max="12050" width="6.875" style="315" bestFit="1" customWidth="1"/>
    <col min="12051" max="12051" width="5" style="315" bestFit="1" customWidth="1"/>
    <col min="12052" max="12052" width="8" style="315" bestFit="1" customWidth="1"/>
    <col min="12053" max="12053" width="11.875" style="315" bestFit="1" customWidth="1"/>
    <col min="12054" max="12282" width="9" style="315"/>
    <col min="12283" max="12283" width="3.875" style="315" bestFit="1" customWidth="1"/>
    <col min="12284" max="12284" width="16" style="315" bestFit="1" customWidth="1"/>
    <col min="12285" max="12285" width="16.625" style="315" bestFit="1" customWidth="1"/>
    <col min="12286" max="12286" width="13.5" style="315" bestFit="1" customWidth="1"/>
    <col min="12287" max="12288" width="10.875" style="315" bestFit="1" customWidth="1"/>
    <col min="12289" max="12289" width="6.25" style="315" bestFit="1" customWidth="1"/>
    <col min="12290" max="12290" width="8.875" style="315" bestFit="1" customWidth="1"/>
    <col min="12291" max="12291" width="13.875" style="315" bestFit="1" customWidth="1"/>
    <col min="12292" max="12292" width="13.25" style="315" bestFit="1" customWidth="1"/>
    <col min="12293" max="12293" width="16" style="315" bestFit="1" customWidth="1"/>
    <col min="12294" max="12294" width="11.625" style="315" bestFit="1" customWidth="1"/>
    <col min="12295" max="12295" width="16.875" style="315" customWidth="1"/>
    <col min="12296" max="12296" width="13.25" style="315" customWidth="1"/>
    <col min="12297" max="12297" width="18.375" style="315" bestFit="1" customWidth="1"/>
    <col min="12298" max="12298" width="15" style="315" bestFit="1" customWidth="1"/>
    <col min="12299" max="12299" width="14.75" style="315" bestFit="1" customWidth="1"/>
    <col min="12300" max="12300" width="14.625" style="315" bestFit="1" customWidth="1"/>
    <col min="12301" max="12301" width="13.75" style="315" bestFit="1" customWidth="1"/>
    <col min="12302" max="12302" width="14.25" style="315" bestFit="1" customWidth="1"/>
    <col min="12303" max="12303" width="15.125" style="315" customWidth="1"/>
    <col min="12304" max="12304" width="20.5" style="315" bestFit="1" customWidth="1"/>
    <col min="12305" max="12305" width="27.875" style="315" bestFit="1" customWidth="1"/>
    <col min="12306" max="12306" width="6.875" style="315" bestFit="1" customWidth="1"/>
    <col min="12307" max="12307" width="5" style="315" bestFit="1" customWidth="1"/>
    <col min="12308" max="12308" width="8" style="315" bestFit="1" customWidth="1"/>
    <col min="12309" max="12309" width="11.875" style="315" bestFit="1" customWidth="1"/>
    <col min="12310" max="12538" width="9" style="315"/>
    <col min="12539" max="12539" width="3.875" style="315" bestFit="1" customWidth="1"/>
    <col min="12540" max="12540" width="16" style="315" bestFit="1" customWidth="1"/>
    <col min="12541" max="12541" width="16.625" style="315" bestFit="1" customWidth="1"/>
    <col min="12542" max="12542" width="13.5" style="315" bestFit="1" customWidth="1"/>
    <col min="12543" max="12544" width="10.875" style="315" bestFit="1" customWidth="1"/>
    <col min="12545" max="12545" width="6.25" style="315" bestFit="1" customWidth="1"/>
    <col min="12546" max="12546" width="8.875" style="315" bestFit="1" customWidth="1"/>
    <col min="12547" max="12547" width="13.875" style="315" bestFit="1" customWidth="1"/>
    <col min="12548" max="12548" width="13.25" style="315" bestFit="1" customWidth="1"/>
    <col min="12549" max="12549" width="16" style="315" bestFit="1" customWidth="1"/>
    <col min="12550" max="12550" width="11.625" style="315" bestFit="1" customWidth="1"/>
    <col min="12551" max="12551" width="16.875" style="315" customWidth="1"/>
    <col min="12552" max="12552" width="13.25" style="315" customWidth="1"/>
    <col min="12553" max="12553" width="18.375" style="315" bestFit="1" customWidth="1"/>
    <col min="12554" max="12554" width="15" style="315" bestFit="1" customWidth="1"/>
    <col min="12555" max="12555" width="14.75" style="315" bestFit="1" customWidth="1"/>
    <col min="12556" max="12556" width="14.625" style="315" bestFit="1" customWidth="1"/>
    <col min="12557" max="12557" width="13.75" style="315" bestFit="1" customWidth="1"/>
    <col min="12558" max="12558" width="14.25" style="315" bestFit="1" customWidth="1"/>
    <col min="12559" max="12559" width="15.125" style="315" customWidth="1"/>
    <col min="12560" max="12560" width="20.5" style="315" bestFit="1" customWidth="1"/>
    <col min="12561" max="12561" width="27.875" style="315" bestFit="1" customWidth="1"/>
    <col min="12562" max="12562" width="6.875" style="315" bestFit="1" customWidth="1"/>
    <col min="12563" max="12563" width="5" style="315" bestFit="1" customWidth="1"/>
    <col min="12564" max="12564" width="8" style="315" bestFit="1" customWidth="1"/>
    <col min="12565" max="12565" width="11.875" style="315" bestFit="1" customWidth="1"/>
    <col min="12566" max="12794" width="9" style="315"/>
    <col min="12795" max="12795" width="3.875" style="315" bestFit="1" customWidth="1"/>
    <col min="12796" max="12796" width="16" style="315" bestFit="1" customWidth="1"/>
    <col min="12797" max="12797" width="16.625" style="315" bestFit="1" customWidth="1"/>
    <col min="12798" max="12798" width="13.5" style="315" bestFit="1" customWidth="1"/>
    <col min="12799" max="12800" width="10.875" style="315" bestFit="1" customWidth="1"/>
    <col min="12801" max="12801" width="6.25" style="315" bestFit="1" customWidth="1"/>
    <col min="12802" max="12802" width="8.875" style="315" bestFit="1" customWidth="1"/>
    <col min="12803" max="12803" width="13.875" style="315" bestFit="1" customWidth="1"/>
    <col min="12804" max="12804" width="13.25" style="315" bestFit="1" customWidth="1"/>
    <col min="12805" max="12805" width="16" style="315" bestFit="1" customWidth="1"/>
    <col min="12806" max="12806" width="11.625" style="315" bestFit="1" customWidth="1"/>
    <col min="12807" max="12807" width="16.875" style="315" customWidth="1"/>
    <col min="12808" max="12808" width="13.25" style="315" customWidth="1"/>
    <col min="12809" max="12809" width="18.375" style="315" bestFit="1" customWidth="1"/>
    <col min="12810" max="12810" width="15" style="315" bestFit="1" customWidth="1"/>
    <col min="12811" max="12811" width="14.75" style="315" bestFit="1" customWidth="1"/>
    <col min="12812" max="12812" width="14.625" style="315" bestFit="1" customWidth="1"/>
    <col min="12813" max="12813" width="13.75" style="315" bestFit="1" customWidth="1"/>
    <col min="12814" max="12814" width="14.25" style="315" bestFit="1" customWidth="1"/>
    <col min="12815" max="12815" width="15.125" style="315" customWidth="1"/>
    <col min="12816" max="12816" width="20.5" style="315" bestFit="1" customWidth="1"/>
    <col min="12817" max="12817" width="27.875" style="315" bestFit="1" customWidth="1"/>
    <col min="12818" max="12818" width="6.875" style="315" bestFit="1" customWidth="1"/>
    <col min="12819" max="12819" width="5" style="315" bestFit="1" customWidth="1"/>
    <col min="12820" max="12820" width="8" style="315" bestFit="1" customWidth="1"/>
    <col min="12821" max="12821" width="11.875" style="315" bestFit="1" customWidth="1"/>
    <col min="12822" max="13050" width="9" style="315"/>
    <col min="13051" max="13051" width="3.875" style="315" bestFit="1" customWidth="1"/>
    <col min="13052" max="13052" width="16" style="315" bestFit="1" customWidth="1"/>
    <col min="13053" max="13053" width="16.625" style="315" bestFit="1" customWidth="1"/>
    <col min="13054" max="13054" width="13.5" style="315" bestFit="1" customWidth="1"/>
    <col min="13055" max="13056" width="10.875" style="315" bestFit="1" customWidth="1"/>
    <col min="13057" max="13057" width="6.25" style="315" bestFit="1" customWidth="1"/>
    <col min="13058" max="13058" width="8.875" style="315" bestFit="1" customWidth="1"/>
    <col min="13059" max="13059" width="13.875" style="315" bestFit="1" customWidth="1"/>
    <col min="13060" max="13060" width="13.25" style="315" bestFit="1" customWidth="1"/>
    <col min="13061" max="13061" width="16" style="315" bestFit="1" customWidth="1"/>
    <col min="13062" max="13062" width="11.625" style="315" bestFit="1" customWidth="1"/>
    <col min="13063" max="13063" width="16.875" style="315" customWidth="1"/>
    <col min="13064" max="13064" width="13.25" style="315" customWidth="1"/>
    <col min="13065" max="13065" width="18.375" style="315" bestFit="1" customWidth="1"/>
    <col min="13066" max="13066" width="15" style="315" bestFit="1" customWidth="1"/>
    <col min="13067" max="13067" width="14.75" style="315" bestFit="1" customWidth="1"/>
    <col min="13068" max="13068" width="14.625" style="315" bestFit="1" customWidth="1"/>
    <col min="13069" max="13069" width="13.75" style="315" bestFit="1" customWidth="1"/>
    <col min="13070" max="13070" width="14.25" style="315" bestFit="1" customWidth="1"/>
    <col min="13071" max="13071" width="15.125" style="315" customWidth="1"/>
    <col min="13072" max="13072" width="20.5" style="315" bestFit="1" customWidth="1"/>
    <col min="13073" max="13073" width="27.875" style="315" bestFit="1" customWidth="1"/>
    <col min="13074" max="13074" width="6.875" style="315" bestFit="1" customWidth="1"/>
    <col min="13075" max="13075" width="5" style="315" bestFit="1" customWidth="1"/>
    <col min="13076" max="13076" width="8" style="315" bestFit="1" customWidth="1"/>
    <col min="13077" max="13077" width="11.875" style="315" bestFit="1" customWidth="1"/>
    <col min="13078" max="13306" width="9" style="315"/>
    <col min="13307" max="13307" width="3.875" style="315" bestFit="1" customWidth="1"/>
    <col min="13308" max="13308" width="16" style="315" bestFit="1" customWidth="1"/>
    <col min="13309" max="13309" width="16.625" style="315" bestFit="1" customWidth="1"/>
    <col min="13310" max="13310" width="13.5" style="315" bestFit="1" customWidth="1"/>
    <col min="13311" max="13312" width="10.875" style="315" bestFit="1" customWidth="1"/>
    <col min="13313" max="13313" width="6.25" style="315" bestFit="1" customWidth="1"/>
    <col min="13314" max="13314" width="8.875" style="315" bestFit="1" customWidth="1"/>
    <col min="13315" max="13315" width="13.875" style="315" bestFit="1" customWidth="1"/>
    <col min="13316" max="13316" width="13.25" style="315" bestFit="1" customWidth="1"/>
    <col min="13317" max="13317" width="16" style="315" bestFit="1" customWidth="1"/>
    <col min="13318" max="13318" width="11.625" style="315" bestFit="1" customWidth="1"/>
    <col min="13319" max="13319" width="16.875" style="315" customWidth="1"/>
    <col min="13320" max="13320" width="13.25" style="315" customWidth="1"/>
    <col min="13321" max="13321" width="18.375" style="315" bestFit="1" customWidth="1"/>
    <col min="13322" max="13322" width="15" style="315" bestFit="1" customWidth="1"/>
    <col min="13323" max="13323" width="14.75" style="315" bestFit="1" customWidth="1"/>
    <col min="13324" max="13324" width="14.625" style="315" bestFit="1" customWidth="1"/>
    <col min="13325" max="13325" width="13.75" style="315" bestFit="1" customWidth="1"/>
    <col min="13326" max="13326" width="14.25" style="315" bestFit="1" customWidth="1"/>
    <col min="13327" max="13327" width="15.125" style="315" customWidth="1"/>
    <col min="13328" max="13328" width="20.5" style="315" bestFit="1" customWidth="1"/>
    <col min="13329" max="13329" width="27.875" style="315" bestFit="1" customWidth="1"/>
    <col min="13330" max="13330" width="6.875" style="315" bestFit="1" customWidth="1"/>
    <col min="13331" max="13331" width="5" style="315" bestFit="1" customWidth="1"/>
    <col min="13332" max="13332" width="8" style="315" bestFit="1" customWidth="1"/>
    <col min="13333" max="13333" width="11.875" style="315" bestFit="1" customWidth="1"/>
    <col min="13334" max="13562" width="9" style="315"/>
    <col min="13563" max="13563" width="3.875" style="315" bestFit="1" customWidth="1"/>
    <col min="13564" max="13564" width="16" style="315" bestFit="1" customWidth="1"/>
    <col min="13565" max="13565" width="16.625" style="315" bestFit="1" customWidth="1"/>
    <col min="13566" max="13566" width="13.5" style="315" bestFit="1" customWidth="1"/>
    <col min="13567" max="13568" width="10.875" style="315" bestFit="1" customWidth="1"/>
    <col min="13569" max="13569" width="6.25" style="315" bestFit="1" customWidth="1"/>
    <col min="13570" max="13570" width="8.875" style="315" bestFit="1" customWidth="1"/>
    <col min="13571" max="13571" width="13.875" style="315" bestFit="1" customWidth="1"/>
    <col min="13572" max="13572" width="13.25" style="315" bestFit="1" customWidth="1"/>
    <col min="13573" max="13573" width="16" style="315" bestFit="1" customWidth="1"/>
    <col min="13574" max="13574" width="11.625" style="315" bestFit="1" customWidth="1"/>
    <col min="13575" max="13575" width="16.875" style="315" customWidth="1"/>
    <col min="13576" max="13576" width="13.25" style="315" customWidth="1"/>
    <col min="13577" max="13577" width="18.375" style="315" bestFit="1" customWidth="1"/>
    <col min="13578" max="13578" width="15" style="315" bestFit="1" customWidth="1"/>
    <col min="13579" max="13579" width="14.75" style="315" bestFit="1" customWidth="1"/>
    <col min="13580" max="13580" width="14.625" style="315" bestFit="1" customWidth="1"/>
    <col min="13581" max="13581" width="13.75" style="315" bestFit="1" customWidth="1"/>
    <col min="13582" max="13582" width="14.25" style="315" bestFit="1" customWidth="1"/>
    <col min="13583" max="13583" width="15.125" style="315" customWidth="1"/>
    <col min="13584" max="13584" width="20.5" style="315" bestFit="1" customWidth="1"/>
    <col min="13585" max="13585" width="27.875" style="315" bestFit="1" customWidth="1"/>
    <col min="13586" max="13586" width="6.875" style="315" bestFit="1" customWidth="1"/>
    <col min="13587" max="13587" width="5" style="315" bestFit="1" customWidth="1"/>
    <col min="13588" max="13588" width="8" style="315" bestFit="1" customWidth="1"/>
    <col min="13589" max="13589" width="11.875" style="315" bestFit="1" customWidth="1"/>
    <col min="13590" max="13818" width="9" style="315"/>
    <col min="13819" max="13819" width="3.875" style="315" bestFit="1" customWidth="1"/>
    <col min="13820" max="13820" width="16" style="315" bestFit="1" customWidth="1"/>
    <col min="13821" max="13821" width="16.625" style="315" bestFit="1" customWidth="1"/>
    <col min="13822" max="13822" width="13.5" style="315" bestFit="1" customWidth="1"/>
    <col min="13823" max="13824" width="10.875" style="315" bestFit="1" customWidth="1"/>
    <col min="13825" max="13825" width="6.25" style="315" bestFit="1" customWidth="1"/>
    <col min="13826" max="13826" width="8.875" style="315" bestFit="1" customWidth="1"/>
    <col min="13827" max="13827" width="13.875" style="315" bestFit="1" customWidth="1"/>
    <col min="13828" max="13828" width="13.25" style="315" bestFit="1" customWidth="1"/>
    <col min="13829" max="13829" width="16" style="315" bestFit="1" customWidth="1"/>
    <col min="13830" max="13830" width="11.625" style="315" bestFit="1" customWidth="1"/>
    <col min="13831" max="13831" width="16.875" style="315" customWidth="1"/>
    <col min="13832" max="13832" width="13.25" style="315" customWidth="1"/>
    <col min="13833" max="13833" width="18.375" style="315" bestFit="1" customWidth="1"/>
    <col min="13834" max="13834" width="15" style="315" bestFit="1" customWidth="1"/>
    <col min="13835" max="13835" width="14.75" style="315" bestFit="1" customWidth="1"/>
    <col min="13836" max="13836" width="14.625" style="315" bestFit="1" customWidth="1"/>
    <col min="13837" max="13837" width="13.75" style="315" bestFit="1" customWidth="1"/>
    <col min="13838" max="13838" width="14.25" style="315" bestFit="1" customWidth="1"/>
    <col min="13839" max="13839" width="15.125" style="315" customWidth="1"/>
    <col min="13840" max="13840" width="20.5" style="315" bestFit="1" customWidth="1"/>
    <col min="13841" max="13841" width="27.875" style="315" bestFit="1" customWidth="1"/>
    <col min="13842" max="13842" width="6.875" style="315" bestFit="1" customWidth="1"/>
    <col min="13843" max="13843" width="5" style="315" bestFit="1" customWidth="1"/>
    <col min="13844" max="13844" width="8" style="315" bestFit="1" customWidth="1"/>
    <col min="13845" max="13845" width="11.875" style="315" bestFit="1" customWidth="1"/>
    <col min="13846" max="14074" width="9" style="315"/>
    <col min="14075" max="14075" width="3.875" style="315" bestFit="1" customWidth="1"/>
    <col min="14076" max="14076" width="16" style="315" bestFit="1" customWidth="1"/>
    <col min="14077" max="14077" width="16.625" style="315" bestFit="1" customWidth="1"/>
    <col min="14078" max="14078" width="13.5" style="315" bestFit="1" customWidth="1"/>
    <col min="14079" max="14080" width="10.875" style="315" bestFit="1" customWidth="1"/>
    <col min="14081" max="14081" width="6.25" style="315" bestFit="1" customWidth="1"/>
    <col min="14082" max="14082" width="8.875" style="315" bestFit="1" customWidth="1"/>
    <col min="14083" max="14083" width="13.875" style="315" bestFit="1" customWidth="1"/>
    <col min="14084" max="14084" width="13.25" style="315" bestFit="1" customWidth="1"/>
    <col min="14085" max="14085" width="16" style="315" bestFit="1" customWidth="1"/>
    <col min="14086" max="14086" width="11.625" style="315" bestFit="1" customWidth="1"/>
    <col min="14087" max="14087" width="16.875" style="315" customWidth="1"/>
    <col min="14088" max="14088" width="13.25" style="315" customWidth="1"/>
    <col min="14089" max="14089" width="18.375" style="315" bestFit="1" customWidth="1"/>
    <col min="14090" max="14090" width="15" style="315" bestFit="1" customWidth="1"/>
    <col min="14091" max="14091" width="14.75" style="315" bestFit="1" customWidth="1"/>
    <col min="14092" max="14092" width="14.625" style="315" bestFit="1" customWidth="1"/>
    <col min="14093" max="14093" width="13.75" style="315" bestFit="1" customWidth="1"/>
    <col min="14094" max="14094" width="14.25" style="315" bestFit="1" customWidth="1"/>
    <col min="14095" max="14095" width="15.125" style="315" customWidth="1"/>
    <col min="14096" max="14096" width="20.5" style="315" bestFit="1" customWidth="1"/>
    <col min="14097" max="14097" width="27.875" style="315" bestFit="1" customWidth="1"/>
    <col min="14098" max="14098" width="6.875" style="315" bestFit="1" customWidth="1"/>
    <col min="14099" max="14099" width="5" style="315" bestFit="1" customWidth="1"/>
    <col min="14100" max="14100" width="8" style="315" bestFit="1" customWidth="1"/>
    <col min="14101" max="14101" width="11.875" style="315" bestFit="1" customWidth="1"/>
    <col min="14102" max="14330" width="9" style="315"/>
    <col min="14331" max="14331" width="3.875" style="315" bestFit="1" customWidth="1"/>
    <col min="14332" max="14332" width="16" style="315" bestFit="1" customWidth="1"/>
    <col min="14333" max="14333" width="16.625" style="315" bestFit="1" customWidth="1"/>
    <col min="14334" max="14334" width="13.5" style="315" bestFit="1" customWidth="1"/>
    <col min="14335" max="14336" width="10.875" style="315" bestFit="1" customWidth="1"/>
    <col min="14337" max="14337" width="6.25" style="315" bestFit="1" customWidth="1"/>
    <col min="14338" max="14338" width="8.875" style="315" bestFit="1" customWidth="1"/>
    <col min="14339" max="14339" width="13.875" style="315" bestFit="1" customWidth="1"/>
    <col min="14340" max="14340" width="13.25" style="315" bestFit="1" customWidth="1"/>
    <col min="14341" max="14341" width="16" style="315" bestFit="1" customWidth="1"/>
    <col min="14342" max="14342" width="11.625" style="315" bestFit="1" customWidth="1"/>
    <col min="14343" max="14343" width="16.875" style="315" customWidth="1"/>
    <col min="14344" max="14344" width="13.25" style="315" customWidth="1"/>
    <col min="14345" max="14345" width="18.375" style="315" bestFit="1" customWidth="1"/>
    <col min="14346" max="14346" width="15" style="315" bestFit="1" customWidth="1"/>
    <col min="14347" max="14347" width="14.75" style="315" bestFit="1" customWidth="1"/>
    <col min="14348" max="14348" width="14.625" style="315" bestFit="1" customWidth="1"/>
    <col min="14349" max="14349" width="13.75" style="315" bestFit="1" customWidth="1"/>
    <col min="14350" max="14350" width="14.25" style="315" bestFit="1" customWidth="1"/>
    <col min="14351" max="14351" width="15.125" style="315" customWidth="1"/>
    <col min="14352" max="14352" width="20.5" style="315" bestFit="1" customWidth="1"/>
    <col min="14353" max="14353" width="27.875" style="315" bestFit="1" customWidth="1"/>
    <col min="14354" max="14354" width="6.875" style="315" bestFit="1" customWidth="1"/>
    <col min="14355" max="14355" width="5" style="315" bestFit="1" customWidth="1"/>
    <col min="14356" max="14356" width="8" style="315" bestFit="1" customWidth="1"/>
    <col min="14357" max="14357" width="11.875" style="315" bestFit="1" customWidth="1"/>
    <col min="14358" max="14586" width="9" style="315"/>
    <col min="14587" max="14587" width="3.875" style="315" bestFit="1" customWidth="1"/>
    <col min="14588" max="14588" width="16" style="315" bestFit="1" customWidth="1"/>
    <col min="14589" max="14589" width="16.625" style="315" bestFit="1" customWidth="1"/>
    <col min="14590" max="14590" width="13.5" style="315" bestFit="1" customWidth="1"/>
    <col min="14591" max="14592" width="10.875" style="315" bestFit="1" customWidth="1"/>
    <col min="14593" max="14593" width="6.25" style="315" bestFit="1" customWidth="1"/>
    <col min="14594" max="14594" width="8.875" style="315" bestFit="1" customWidth="1"/>
    <col min="14595" max="14595" width="13.875" style="315" bestFit="1" customWidth="1"/>
    <col min="14596" max="14596" width="13.25" style="315" bestFit="1" customWidth="1"/>
    <col min="14597" max="14597" width="16" style="315" bestFit="1" customWidth="1"/>
    <col min="14598" max="14598" width="11.625" style="315" bestFit="1" customWidth="1"/>
    <col min="14599" max="14599" width="16.875" style="315" customWidth="1"/>
    <col min="14600" max="14600" width="13.25" style="315" customWidth="1"/>
    <col min="14601" max="14601" width="18.375" style="315" bestFit="1" customWidth="1"/>
    <col min="14602" max="14602" width="15" style="315" bestFit="1" customWidth="1"/>
    <col min="14603" max="14603" width="14.75" style="315" bestFit="1" customWidth="1"/>
    <col min="14604" max="14604" width="14.625" style="315" bestFit="1" customWidth="1"/>
    <col min="14605" max="14605" width="13.75" style="315" bestFit="1" customWidth="1"/>
    <col min="14606" max="14606" width="14.25" style="315" bestFit="1" customWidth="1"/>
    <col min="14607" max="14607" width="15.125" style="315" customWidth="1"/>
    <col min="14608" max="14608" width="20.5" style="315" bestFit="1" customWidth="1"/>
    <col min="14609" max="14609" width="27.875" style="315" bestFit="1" customWidth="1"/>
    <col min="14610" max="14610" width="6.875" style="315" bestFit="1" customWidth="1"/>
    <col min="14611" max="14611" width="5" style="315" bestFit="1" customWidth="1"/>
    <col min="14612" max="14612" width="8" style="315" bestFit="1" customWidth="1"/>
    <col min="14613" max="14613" width="11.875" style="315" bestFit="1" customWidth="1"/>
    <col min="14614" max="14842" width="9" style="315"/>
    <col min="14843" max="14843" width="3.875" style="315" bestFit="1" customWidth="1"/>
    <col min="14844" max="14844" width="16" style="315" bestFit="1" customWidth="1"/>
    <col min="14845" max="14845" width="16.625" style="315" bestFit="1" customWidth="1"/>
    <col min="14846" max="14846" width="13.5" style="315" bestFit="1" customWidth="1"/>
    <col min="14847" max="14848" width="10.875" style="315" bestFit="1" customWidth="1"/>
    <col min="14849" max="14849" width="6.25" style="315" bestFit="1" customWidth="1"/>
    <col min="14850" max="14850" width="8.875" style="315" bestFit="1" customWidth="1"/>
    <col min="14851" max="14851" width="13.875" style="315" bestFit="1" customWidth="1"/>
    <col min="14852" max="14852" width="13.25" style="315" bestFit="1" customWidth="1"/>
    <col min="14853" max="14853" width="16" style="315" bestFit="1" customWidth="1"/>
    <col min="14854" max="14854" width="11.625" style="315" bestFit="1" customWidth="1"/>
    <col min="14855" max="14855" width="16.875" style="315" customWidth="1"/>
    <col min="14856" max="14856" width="13.25" style="315" customWidth="1"/>
    <col min="14857" max="14857" width="18.375" style="315" bestFit="1" customWidth="1"/>
    <col min="14858" max="14858" width="15" style="315" bestFit="1" customWidth="1"/>
    <col min="14859" max="14859" width="14.75" style="315" bestFit="1" customWidth="1"/>
    <col min="14860" max="14860" width="14.625" style="315" bestFit="1" customWidth="1"/>
    <col min="14861" max="14861" width="13.75" style="315" bestFit="1" customWidth="1"/>
    <col min="14862" max="14862" width="14.25" style="315" bestFit="1" customWidth="1"/>
    <col min="14863" max="14863" width="15.125" style="315" customWidth="1"/>
    <col min="14864" max="14864" width="20.5" style="315" bestFit="1" customWidth="1"/>
    <col min="14865" max="14865" width="27.875" style="315" bestFit="1" customWidth="1"/>
    <col min="14866" max="14866" width="6.875" style="315" bestFit="1" customWidth="1"/>
    <col min="14867" max="14867" width="5" style="315" bestFit="1" customWidth="1"/>
    <col min="14868" max="14868" width="8" style="315" bestFit="1" customWidth="1"/>
    <col min="14869" max="14869" width="11.875" style="315" bestFit="1" customWidth="1"/>
    <col min="14870" max="15098" width="9" style="315"/>
    <col min="15099" max="15099" width="3.875" style="315" bestFit="1" customWidth="1"/>
    <col min="15100" max="15100" width="16" style="315" bestFit="1" customWidth="1"/>
    <col min="15101" max="15101" width="16.625" style="315" bestFit="1" customWidth="1"/>
    <col min="15102" max="15102" width="13.5" style="315" bestFit="1" customWidth="1"/>
    <col min="15103" max="15104" width="10.875" style="315" bestFit="1" customWidth="1"/>
    <col min="15105" max="15105" width="6.25" style="315" bestFit="1" customWidth="1"/>
    <col min="15106" max="15106" width="8.875" style="315" bestFit="1" customWidth="1"/>
    <col min="15107" max="15107" width="13.875" style="315" bestFit="1" customWidth="1"/>
    <col min="15108" max="15108" width="13.25" style="315" bestFit="1" customWidth="1"/>
    <col min="15109" max="15109" width="16" style="315" bestFit="1" customWidth="1"/>
    <col min="15110" max="15110" width="11.625" style="315" bestFit="1" customWidth="1"/>
    <col min="15111" max="15111" width="16.875" style="315" customWidth="1"/>
    <col min="15112" max="15112" width="13.25" style="315" customWidth="1"/>
    <col min="15113" max="15113" width="18.375" style="315" bestFit="1" customWidth="1"/>
    <col min="15114" max="15114" width="15" style="315" bestFit="1" customWidth="1"/>
    <col min="15115" max="15115" width="14.75" style="315" bestFit="1" customWidth="1"/>
    <col min="15116" max="15116" width="14.625" style="315" bestFit="1" customWidth="1"/>
    <col min="15117" max="15117" width="13.75" style="315" bestFit="1" customWidth="1"/>
    <col min="15118" max="15118" width="14.25" style="315" bestFit="1" customWidth="1"/>
    <col min="15119" max="15119" width="15.125" style="315" customWidth="1"/>
    <col min="15120" max="15120" width="20.5" style="315" bestFit="1" customWidth="1"/>
    <col min="15121" max="15121" width="27.875" style="315" bestFit="1" customWidth="1"/>
    <col min="15122" max="15122" width="6.875" style="315" bestFit="1" customWidth="1"/>
    <col min="15123" max="15123" width="5" style="315" bestFit="1" customWidth="1"/>
    <col min="15124" max="15124" width="8" style="315" bestFit="1" customWidth="1"/>
    <col min="15125" max="15125" width="11.875" style="315" bestFit="1" customWidth="1"/>
    <col min="15126" max="15354" width="9" style="315"/>
    <col min="15355" max="15355" width="3.875" style="315" bestFit="1" customWidth="1"/>
    <col min="15356" max="15356" width="16" style="315" bestFit="1" customWidth="1"/>
    <col min="15357" max="15357" width="16.625" style="315" bestFit="1" customWidth="1"/>
    <col min="15358" max="15358" width="13.5" style="315" bestFit="1" customWidth="1"/>
    <col min="15359" max="15360" width="10.875" style="315" bestFit="1" customWidth="1"/>
    <col min="15361" max="15361" width="6.25" style="315" bestFit="1" customWidth="1"/>
    <col min="15362" max="15362" width="8.875" style="315" bestFit="1" customWidth="1"/>
    <col min="15363" max="15363" width="13.875" style="315" bestFit="1" customWidth="1"/>
    <col min="15364" max="15364" width="13.25" style="315" bestFit="1" customWidth="1"/>
    <col min="15365" max="15365" width="16" style="315" bestFit="1" customWidth="1"/>
    <col min="15366" max="15366" width="11.625" style="315" bestFit="1" customWidth="1"/>
    <col min="15367" max="15367" width="16.875" style="315" customWidth="1"/>
    <col min="15368" max="15368" width="13.25" style="315" customWidth="1"/>
    <col min="15369" max="15369" width="18.375" style="315" bestFit="1" customWidth="1"/>
    <col min="15370" max="15370" width="15" style="315" bestFit="1" customWidth="1"/>
    <col min="15371" max="15371" width="14.75" style="315" bestFit="1" customWidth="1"/>
    <col min="15372" max="15372" width="14.625" style="315" bestFit="1" customWidth="1"/>
    <col min="15373" max="15373" width="13.75" style="315" bestFit="1" customWidth="1"/>
    <col min="15374" max="15374" width="14.25" style="315" bestFit="1" customWidth="1"/>
    <col min="15375" max="15375" width="15.125" style="315" customWidth="1"/>
    <col min="15376" max="15376" width="20.5" style="315" bestFit="1" customWidth="1"/>
    <col min="15377" max="15377" width="27.875" style="315" bestFit="1" customWidth="1"/>
    <col min="15378" max="15378" width="6.875" style="315" bestFit="1" customWidth="1"/>
    <col min="15379" max="15379" width="5" style="315" bestFit="1" customWidth="1"/>
    <col min="15380" max="15380" width="8" style="315" bestFit="1" customWidth="1"/>
    <col min="15381" max="15381" width="11.875" style="315" bestFit="1" customWidth="1"/>
    <col min="15382" max="15610" width="9" style="315"/>
    <col min="15611" max="15611" width="3.875" style="315" bestFit="1" customWidth="1"/>
    <col min="15612" max="15612" width="16" style="315" bestFit="1" customWidth="1"/>
    <col min="15613" max="15613" width="16.625" style="315" bestFit="1" customWidth="1"/>
    <col min="15614" max="15614" width="13.5" style="315" bestFit="1" customWidth="1"/>
    <col min="15615" max="15616" width="10.875" style="315" bestFit="1" customWidth="1"/>
    <col min="15617" max="15617" width="6.25" style="315" bestFit="1" customWidth="1"/>
    <col min="15618" max="15618" width="8.875" style="315" bestFit="1" customWidth="1"/>
    <col min="15619" max="15619" width="13.875" style="315" bestFit="1" customWidth="1"/>
    <col min="15620" max="15620" width="13.25" style="315" bestFit="1" customWidth="1"/>
    <col min="15621" max="15621" width="16" style="315" bestFit="1" customWidth="1"/>
    <col min="15622" max="15622" width="11.625" style="315" bestFit="1" customWidth="1"/>
    <col min="15623" max="15623" width="16.875" style="315" customWidth="1"/>
    <col min="15624" max="15624" width="13.25" style="315" customWidth="1"/>
    <col min="15625" max="15625" width="18.375" style="315" bestFit="1" customWidth="1"/>
    <col min="15626" max="15626" width="15" style="315" bestFit="1" customWidth="1"/>
    <col min="15627" max="15627" width="14.75" style="315" bestFit="1" customWidth="1"/>
    <col min="15628" max="15628" width="14.625" style="315" bestFit="1" customWidth="1"/>
    <col min="15629" max="15629" width="13.75" style="315" bestFit="1" customWidth="1"/>
    <col min="15630" max="15630" width="14.25" style="315" bestFit="1" customWidth="1"/>
    <col min="15631" max="15631" width="15.125" style="315" customWidth="1"/>
    <col min="15632" max="15632" width="20.5" style="315" bestFit="1" customWidth="1"/>
    <col min="15633" max="15633" width="27.875" style="315" bestFit="1" customWidth="1"/>
    <col min="15634" max="15634" width="6.875" style="315" bestFit="1" customWidth="1"/>
    <col min="15635" max="15635" width="5" style="315" bestFit="1" customWidth="1"/>
    <col min="15636" max="15636" width="8" style="315" bestFit="1" customWidth="1"/>
    <col min="15637" max="15637" width="11.875" style="315" bestFit="1" customWidth="1"/>
    <col min="15638" max="15866" width="9" style="315"/>
    <col min="15867" max="15867" width="3.875" style="315" bestFit="1" customWidth="1"/>
    <col min="15868" max="15868" width="16" style="315" bestFit="1" customWidth="1"/>
    <col min="15869" max="15869" width="16.625" style="315" bestFit="1" customWidth="1"/>
    <col min="15870" max="15870" width="13.5" style="315" bestFit="1" customWidth="1"/>
    <col min="15871" max="15872" width="10.875" style="315" bestFit="1" customWidth="1"/>
    <col min="15873" max="15873" width="6.25" style="315" bestFit="1" customWidth="1"/>
    <col min="15874" max="15874" width="8.875" style="315" bestFit="1" customWidth="1"/>
    <col min="15875" max="15875" width="13.875" style="315" bestFit="1" customWidth="1"/>
    <col min="15876" max="15876" width="13.25" style="315" bestFit="1" customWidth="1"/>
    <col min="15877" max="15877" width="16" style="315" bestFit="1" customWidth="1"/>
    <col min="15878" max="15878" width="11.625" style="315" bestFit="1" customWidth="1"/>
    <col min="15879" max="15879" width="16.875" style="315" customWidth="1"/>
    <col min="15880" max="15880" width="13.25" style="315" customWidth="1"/>
    <col min="15881" max="15881" width="18.375" style="315" bestFit="1" customWidth="1"/>
    <col min="15882" max="15882" width="15" style="315" bestFit="1" customWidth="1"/>
    <col min="15883" max="15883" width="14.75" style="315" bestFit="1" customWidth="1"/>
    <col min="15884" max="15884" width="14.625" style="315" bestFit="1" customWidth="1"/>
    <col min="15885" max="15885" width="13.75" style="315" bestFit="1" customWidth="1"/>
    <col min="15886" max="15886" width="14.25" style="315" bestFit="1" customWidth="1"/>
    <col min="15887" max="15887" width="15.125" style="315" customWidth="1"/>
    <col min="15888" max="15888" width="20.5" style="315" bestFit="1" customWidth="1"/>
    <col min="15889" max="15889" width="27.875" style="315" bestFit="1" customWidth="1"/>
    <col min="15890" max="15890" width="6.875" style="315" bestFit="1" customWidth="1"/>
    <col min="15891" max="15891" width="5" style="315" bestFit="1" customWidth="1"/>
    <col min="15892" max="15892" width="8" style="315" bestFit="1" customWidth="1"/>
    <col min="15893" max="15893" width="11.875" style="315" bestFit="1" customWidth="1"/>
    <col min="15894" max="16122" width="9" style="315"/>
    <col min="16123" max="16123" width="3.875" style="315" bestFit="1" customWidth="1"/>
    <col min="16124" max="16124" width="16" style="315" bestFit="1" customWidth="1"/>
    <col min="16125" max="16125" width="16.625" style="315" bestFit="1" customWidth="1"/>
    <col min="16126" max="16126" width="13.5" style="315" bestFit="1" customWidth="1"/>
    <col min="16127" max="16128" width="10.875" style="315" bestFit="1" customWidth="1"/>
    <col min="16129" max="16129" width="6.25" style="315" bestFit="1" customWidth="1"/>
    <col min="16130" max="16130" width="8.875" style="315" bestFit="1" customWidth="1"/>
    <col min="16131" max="16131" width="13.875" style="315" bestFit="1" customWidth="1"/>
    <col min="16132" max="16132" width="13.25" style="315" bestFit="1" customWidth="1"/>
    <col min="16133" max="16133" width="16" style="315" bestFit="1" customWidth="1"/>
    <col min="16134" max="16134" width="11.625" style="315" bestFit="1" customWidth="1"/>
    <col min="16135" max="16135" width="16.875" style="315" customWidth="1"/>
    <col min="16136" max="16136" width="13.25" style="315" customWidth="1"/>
    <col min="16137" max="16137" width="18.375" style="315" bestFit="1" customWidth="1"/>
    <col min="16138" max="16138" width="15" style="315" bestFit="1" customWidth="1"/>
    <col min="16139" max="16139" width="14.75" style="315" bestFit="1" customWidth="1"/>
    <col min="16140" max="16140" width="14.625" style="315" bestFit="1" customWidth="1"/>
    <col min="16141" max="16141" width="13.75" style="315" bestFit="1" customWidth="1"/>
    <col min="16142" max="16142" width="14.25" style="315" bestFit="1" customWidth="1"/>
    <col min="16143" max="16143" width="15.125" style="315" customWidth="1"/>
    <col min="16144" max="16144" width="20.5" style="315" bestFit="1" customWidth="1"/>
    <col min="16145" max="16145" width="27.875" style="315" bestFit="1" customWidth="1"/>
    <col min="16146" max="16146" width="6.875" style="315" bestFit="1" customWidth="1"/>
    <col min="16147" max="16147" width="5" style="315" bestFit="1" customWidth="1"/>
    <col min="16148" max="16148" width="8" style="315" bestFit="1" customWidth="1"/>
    <col min="16149" max="16149" width="11.875" style="315" bestFit="1" customWidth="1"/>
    <col min="16150" max="16384" width="9" style="315"/>
  </cols>
  <sheetData>
    <row r="1" spans="1:31" x14ac:dyDescent="0.3">
      <c r="S1" s="232" t="s">
        <v>357</v>
      </c>
    </row>
    <row r="2" spans="1:31" x14ac:dyDescent="0.3">
      <c r="S2" s="233" t="s">
        <v>1</v>
      </c>
    </row>
    <row r="3" spans="1:31" x14ac:dyDescent="0.3">
      <c r="S3" s="233" t="s">
        <v>265</v>
      </c>
    </row>
    <row r="4" spans="1:31" x14ac:dyDescent="0.3">
      <c r="A4" s="1329" t="s">
        <v>404</v>
      </c>
      <c r="B4" s="1329"/>
      <c r="C4" s="1329"/>
      <c r="D4" s="1329"/>
      <c r="E4" s="1329"/>
      <c r="F4" s="1329"/>
      <c r="G4" s="1329"/>
      <c r="H4" s="1329"/>
      <c r="I4" s="1329"/>
      <c r="J4" s="1329"/>
      <c r="K4" s="1329"/>
      <c r="L4" s="1329"/>
      <c r="M4" s="1329"/>
      <c r="N4" s="1329"/>
      <c r="O4" s="1329"/>
      <c r="P4" s="1329"/>
      <c r="Q4" s="1329"/>
      <c r="R4" s="1329"/>
      <c r="S4" s="1329"/>
    </row>
    <row r="5" spans="1:31" x14ac:dyDescent="0.3">
      <c r="B5" s="315"/>
      <c r="C5" s="315"/>
      <c r="D5" s="315"/>
      <c r="E5" s="315"/>
      <c r="F5" s="315"/>
      <c r="G5" s="315"/>
      <c r="H5" s="315"/>
      <c r="I5" s="315"/>
      <c r="J5" s="315"/>
      <c r="K5" s="315"/>
      <c r="L5" s="315"/>
      <c r="M5" s="315"/>
      <c r="N5" s="315"/>
      <c r="O5" s="315"/>
      <c r="P5" s="315"/>
      <c r="Q5" s="315"/>
      <c r="R5" s="315"/>
      <c r="S5" s="315"/>
      <c r="T5" s="234"/>
    </row>
    <row r="6" spans="1:31" x14ac:dyDescent="0.3">
      <c r="A6" s="1327" t="s">
        <v>810</v>
      </c>
      <c r="B6" s="1327"/>
      <c r="C6" s="1327"/>
      <c r="D6" s="1327"/>
      <c r="E6" s="1327"/>
      <c r="F6" s="1327"/>
      <c r="G6" s="1327"/>
      <c r="H6" s="1327"/>
      <c r="I6" s="1327"/>
      <c r="J6" s="1327"/>
      <c r="K6" s="1327"/>
      <c r="L6" s="1327"/>
      <c r="M6" s="1327"/>
      <c r="N6" s="1327"/>
      <c r="O6" s="1327"/>
      <c r="P6" s="1327"/>
      <c r="Q6" s="1327"/>
      <c r="R6" s="1327"/>
      <c r="S6" s="1327"/>
      <c r="T6" s="234"/>
    </row>
    <row r="7" spans="1:31" x14ac:dyDescent="0.3">
      <c r="A7" s="1328" t="s">
        <v>334</v>
      </c>
      <c r="B7" s="1328"/>
      <c r="C7" s="1328"/>
      <c r="D7" s="1328"/>
      <c r="E7" s="1328"/>
      <c r="F7" s="1328"/>
      <c r="G7" s="1328"/>
      <c r="H7" s="1328"/>
      <c r="I7" s="1328"/>
      <c r="J7" s="1328"/>
      <c r="K7" s="1328"/>
      <c r="L7" s="1328"/>
      <c r="M7" s="1328"/>
      <c r="N7" s="1328"/>
      <c r="O7" s="1328"/>
      <c r="P7" s="1328"/>
      <c r="Q7" s="1328"/>
      <c r="R7" s="1328"/>
      <c r="S7" s="1328"/>
      <c r="T7" s="234"/>
    </row>
    <row r="8" spans="1:31" x14ac:dyDescent="0.3">
      <c r="A8" s="650"/>
      <c r="B8" s="650"/>
      <c r="C8" s="650"/>
      <c r="D8" s="650"/>
      <c r="E8" s="650"/>
      <c r="F8" s="650"/>
      <c r="G8" s="650"/>
      <c r="H8" s="650"/>
      <c r="I8" s="650"/>
      <c r="J8" s="650"/>
      <c r="K8" s="650"/>
      <c r="L8" s="650"/>
      <c r="M8" s="650"/>
      <c r="N8" s="650"/>
      <c r="O8" s="650"/>
      <c r="P8" s="650"/>
      <c r="Q8" s="650"/>
      <c r="R8" s="650"/>
      <c r="S8" s="650"/>
      <c r="T8" s="234"/>
    </row>
    <row r="9" spans="1:31" ht="35.25" customHeight="1" x14ac:dyDescent="0.3">
      <c r="A9" s="1160" t="s">
        <v>945</v>
      </c>
      <c r="B9" s="1160"/>
      <c r="C9" s="1160"/>
      <c r="D9" s="1160"/>
      <c r="E9" s="1160"/>
      <c r="F9" s="1160"/>
      <c r="G9" s="1160"/>
      <c r="H9" s="1160"/>
      <c r="I9" s="1160"/>
      <c r="J9" s="1160"/>
      <c r="K9" s="1160"/>
      <c r="L9" s="1160"/>
      <c r="M9" s="1160"/>
      <c r="N9" s="1160"/>
      <c r="O9" s="1160"/>
      <c r="P9" s="1160"/>
      <c r="Q9" s="1160"/>
      <c r="R9" s="1160"/>
      <c r="S9" s="1160"/>
      <c r="T9" s="234"/>
    </row>
    <row r="10" spans="1:31" s="217" customFormat="1" ht="16.5" customHeight="1" x14ac:dyDescent="0.3">
      <c r="A10" s="1330"/>
      <c r="B10" s="1330"/>
      <c r="C10" s="1330"/>
      <c r="D10" s="1330"/>
      <c r="E10" s="1330"/>
      <c r="F10" s="1330"/>
      <c r="G10" s="1330"/>
      <c r="H10" s="1330"/>
      <c r="I10" s="1330"/>
      <c r="J10" s="1330"/>
      <c r="K10" s="1330"/>
      <c r="L10" s="1330"/>
      <c r="M10" s="1330"/>
      <c r="N10" s="1330"/>
      <c r="O10" s="1330"/>
      <c r="P10" s="1330"/>
      <c r="Q10" s="1330"/>
      <c r="R10" s="1330"/>
      <c r="T10" s="314"/>
      <c r="U10" s="314"/>
      <c r="V10" s="315"/>
      <c r="W10" s="315"/>
      <c r="X10" s="315"/>
      <c r="Y10" s="315"/>
      <c r="Z10" s="315"/>
      <c r="AA10" s="315"/>
      <c r="AB10" s="315"/>
      <c r="AC10" s="315"/>
      <c r="AD10" s="315"/>
      <c r="AE10" s="315"/>
    </row>
    <row r="11" spans="1:31" s="217" customFormat="1" ht="38.25" customHeight="1" x14ac:dyDescent="0.3">
      <c r="A11" s="1307" t="s">
        <v>179</v>
      </c>
      <c r="B11" s="1307" t="s">
        <v>31</v>
      </c>
      <c r="C11" s="1307" t="s">
        <v>4</v>
      </c>
      <c r="D11" s="1162" t="s">
        <v>41</v>
      </c>
      <c r="E11" s="1162" t="s">
        <v>142</v>
      </c>
      <c r="F11" s="1163" t="s">
        <v>336</v>
      </c>
      <c r="G11" s="1331"/>
      <c r="H11" s="1331"/>
      <c r="I11" s="1331"/>
      <c r="J11" s="1164"/>
      <c r="K11" s="1333" t="s">
        <v>337</v>
      </c>
      <c r="L11" s="1163" t="s">
        <v>144</v>
      </c>
      <c r="M11" s="1164"/>
      <c r="N11" s="1307" t="s">
        <v>143</v>
      </c>
      <c r="O11" s="1316" t="s">
        <v>335</v>
      </c>
      <c r="P11" s="1310" t="s">
        <v>145</v>
      </c>
      <c r="Q11" s="1310"/>
      <c r="R11" s="1310"/>
      <c r="S11" s="1310"/>
      <c r="T11" s="1310"/>
      <c r="U11" s="1310"/>
      <c r="V11" s="315"/>
      <c r="W11" s="315"/>
      <c r="X11" s="315"/>
      <c r="Y11" s="315"/>
      <c r="Z11" s="315"/>
      <c r="AA11" s="315"/>
      <c r="AB11" s="315"/>
      <c r="AC11" s="315"/>
      <c r="AD11" s="315"/>
      <c r="AE11" s="315"/>
    </row>
    <row r="12" spans="1:31" s="217" customFormat="1" ht="84.75" customHeight="1" x14ac:dyDescent="0.3">
      <c r="A12" s="1307"/>
      <c r="B12" s="1307"/>
      <c r="C12" s="1307"/>
      <c r="D12" s="1162"/>
      <c r="E12" s="1162"/>
      <c r="F12" s="1165"/>
      <c r="G12" s="1332"/>
      <c r="H12" s="1332"/>
      <c r="I12" s="1332"/>
      <c r="J12" s="1166"/>
      <c r="K12" s="1334"/>
      <c r="L12" s="1165"/>
      <c r="M12" s="1166"/>
      <c r="N12" s="1307"/>
      <c r="O12" s="1317"/>
      <c r="P12" s="1310" t="s">
        <v>839</v>
      </c>
      <c r="Q12" s="1310"/>
      <c r="R12" s="1310" t="s">
        <v>911</v>
      </c>
      <c r="S12" s="1310"/>
      <c r="T12" s="1310" t="s">
        <v>912</v>
      </c>
      <c r="U12" s="1310"/>
      <c r="V12" s="315"/>
      <c r="W12" s="315"/>
      <c r="X12" s="315"/>
      <c r="Y12" s="315"/>
      <c r="Z12" s="315"/>
      <c r="AA12" s="315"/>
      <c r="AB12" s="315"/>
      <c r="AC12" s="315"/>
      <c r="AD12" s="315"/>
      <c r="AE12" s="315"/>
    </row>
    <row r="13" spans="1:31" s="217" customFormat="1" ht="189.75" customHeight="1" x14ac:dyDescent="0.3">
      <c r="A13" s="1307"/>
      <c r="B13" s="1307"/>
      <c r="C13" s="1307"/>
      <c r="D13" s="1162"/>
      <c r="E13" s="1162"/>
      <c r="F13" s="645" t="s">
        <v>28</v>
      </c>
      <c r="G13" s="645" t="s">
        <v>25</v>
      </c>
      <c r="H13" s="645" t="s">
        <v>26</v>
      </c>
      <c r="I13" s="644" t="s">
        <v>517</v>
      </c>
      <c r="J13" s="168" t="s">
        <v>824</v>
      </c>
      <c r="K13" s="1335"/>
      <c r="L13" s="643" t="s">
        <v>508</v>
      </c>
      <c r="M13" s="643" t="s">
        <v>509</v>
      </c>
      <c r="N13" s="1307"/>
      <c r="O13" s="1318"/>
      <c r="P13" s="182" t="s">
        <v>150</v>
      </c>
      <c r="Q13" s="182" t="s">
        <v>151</v>
      </c>
      <c r="R13" s="182" t="s">
        <v>150</v>
      </c>
      <c r="S13" s="182" t="s">
        <v>151</v>
      </c>
      <c r="T13" s="182" t="s">
        <v>150</v>
      </c>
      <c r="U13" s="182" t="s">
        <v>151</v>
      </c>
      <c r="V13" s="315"/>
      <c r="W13" s="315"/>
      <c r="X13" s="315"/>
      <c r="Y13" s="315"/>
      <c r="Z13" s="315"/>
      <c r="AA13" s="315"/>
      <c r="AB13" s="315"/>
      <c r="AC13" s="315"/>
      <c r="AD13" s="315"/>
      <c r="AE13" s="315"/>
    </row>
    <row r="14" spans="1:31" s="217" customFormat="1" ht="20.25" customHeight="1" x14ac:dyDescent="0.3">
      <c r="A14" s="216">
        <v>1</v>
      </c>
      <c r="B14" s="216">
        <v>2</v>
      </c>
      <c r="C14" s="216">
        <v>3</v>
      </c>
      <c r="D14" s="216">
        <v>4</v>
      </c>
      <c r="E14" s="216">
        <v>5</v>
      </c>
      <c r="F14" s="216">
        <v>6</v>
      </c>
      <c r="G14" s="216">
        <v>7</v>
      </c>
      <c r="H14" s="216">
        <v>8</v>
      </c>
      <c r="I14" s="216">
        <v>9</v>
      </c>
      <c r="J14" s="216">
        <v>10</v>
      </c>
      <c r="K14" s="216">
        <v>11</v>
      </c>
      <c r="L14" s="216">
        <v>12</v>
      </c>
      <c r="M14" s="216">
        <v>13</v>
      </c>
      <c r="N14" s="216">
        <v>14</v>
      </c>
      <c r="O14" s="216">
        <v>15</v>
      </c>
      <c r="P14" s="235" t="s">
        <v>338</v>
      </c>
      <c r="Q14" s="235" t="s">
        <v>339</v>
      </c>
      <c r="R14" s="235" t="s">
        <v>340</v>
      </c>
      <c r="S14" s="235" t="s">
        <v>341</v>
      </c>
      <c r="T14" s="235" t="s">
        <v>913</v>
      </c>
      <c r="U14" s="235" t="s">
        <v>914</v>
      </c>
      <c r="V14" s="315"/>
      <c r="W14" s="315"/>
      <c r="X14" s="315"/>
      <c r="Y14" s="315"/>
      <c r="Z14" s="315"/>
      <c r="AA14" s="315"/>
      <c r="AB14" s="315"/>
      <c r="AC14" s="315"/>
      <c r="AD14" s="315"/>
      <c r="AE14" s="315"/>
    </row>
    <row r="15" spans="1:31" ht="79.5" customHeight="1" x14ac:dyDescent="0.3">
      <c r="A15" s="147" t="s">
        <v>711</v>
      </c>
      <c r="B15" s="148" t="s">
        <v>684</v>
      </c>
      <c r="C15" s="713" t="s">
        <v>621</v>
      </c>
      <c r="D15" s="714">
        <f ca="1">D16</f>
        <v>480.46</v>
      </c>
      <c r="E15" s="715"/>
      <c r="F15" s="714">
        <f>F16</f>
        <v>520.73</v>
      </c>
      <c r="G15" s="713" t="s">
        <v>621</v>
      </c>
      <c r="H15" s="713" t="s">
        <v>621</v>
      </c>
      <c r="I15" s="714">
        <f>I16</f>
        <v>81.81</v>
      </c>
      <c r="J15" s="714">
        <f t="shared" ref="I15:K18" si="0">J16</f>
        <v>438.92</v>
      </c>
      <c r="K15" s="714">
        <f>K16</f>
        <v>433.96</v>
      </c>
      <c r="L15" s="713"/>
      <c r="M15" s="714">
        <f>M16</f>
        <v>433.96</v>
      </c>
      <c r="N15" s="713"/>
      <c r="O15" s="713" t="s">
        <v>621</v>
      </c>
      <c r="P15" s="716">
        <f t="shared" ref="P15:Q18" si="1">P16</f>
        <v>35.834000000000003</v>
      </c>
      <c r="Q15" s="716">
        <f t="shared" si="1"/>
        <v>42.793999999999997</v>
      </c>
      <c r="R15" s="713">
        <f t="shared" ref="R15:U16" si="2">R16</f>
        <v>12.59</v>
      </c>
      <c r="S15" s="713">
        <f t="shared" si="2"/>
        <v>12.59</v>
      </c>
      <c r="T15" s="713">
        <f t="shared" si="2"/>
        <v>124</v>
      </c>
      <c r="U15" s="713">
        <f>U16</f>
        <v>11315</v>
      </c>
    </row>
    <row r="16" spans="1:31" ht="114.75" customHeight="1" x14ac:dyDescent="0.3">
      <c r="A16" s="150" t="s">
        <v>713</v>
      </c>
      <c r="B16" s="173" t="s">
        <v>686</v>
      </c>
      <c r="C16" s="216" t="s">
        <v>621</v>
      </c>
      <c r="D16" s="717">
        <f ca="1">D17</f>
        <v>480.46</v>
      </c>
      <c r="E16" s="718"/>
      <c r="F16" s="717">
        <f>F17</f>
        <v>520.73</v>
      </c>
      <c r="G16" s="216" t="s">
        <v>621</v>
      </c>
      <c r="H16" s="216" t="s">
        <v>621</v>
      </c>
      <c r="I16" s="717">
        <f>I17</f>
        <v>81.81</v>
      </c>
      <c r="J16" s="717">
        <f t="shared" si="0"/>
        <v>438.92</v>
      </c>
      <c r="K16" s="717">
        <f t="shared" si="0"/>
        <v>433.96</v>
      </c>
      <c r="L16" s="216"/>
      <c r="M16" s="717">
        <f>M17</f>
        <v>433.96</v>
      </c>
      <c r="N16" s="216"/>
      <c r="O16" s="216" t="s">
        <v>621</v>
      </c>
      <c r="P16" s="719">
        <f t="shared" si="1"/>
        <v>35.834000000000003</v>
      </c>
      <c r="Q16" s="719">
        <f t="shared" si="1"/>
        <v>42.793999999999997</v>
      </c>
      <c r="R16" s="216">
        <f t="shared" si="2"/>
        <v>12.59</v>
      </c>
      <c r="S16" s="216">
        <f t="shared" si="2"/>
        <v>12.59</v>
      </c>
      <c r="T16" s="216">
        <f t="shared" si="2"/>
        <v>124</v>
      </c>
      <c r="U16" s="216">
        <f t="shared" si="2"/>
        <v>11315</v>
      </c>
    </row>
    <row r="17" spans="1:25" x14ac:dyDescent="0.3">
      <c r="A17" s="153" t="s">
        <v>537</v>
      </c>
      <c r="B17" s="641" t="s">
        <v>691</v>
      </c>
      <c r="C17" s="216" t="s">
        <v>621</v>
      </c>
      <c r="D17" s="717">
        <f ca="1">D18+D48+D45+D71</f>
        <v>480.46</v>
      </c>
      <c r="E17" s="718"/>
      <c r="F17" s="717">
        <f>F18+F45+F48+F71</f>
        <v>520.73</v>
      </c>
      <c r="G17" s="717" t="s">
        <v>621</v>
      </c>
      <c r="H17" s="717" t="s">
        <v>621</v>
      </c>
      <c r="I17" s="717">
        <f>I47</f>
        <v>81.81</v>
      </c>
      <c r="J17" s="717">
        <v>438.92</v>
      </c>
      <c r="K17" s="717">
        <v>433.96</v>
      </c>
      <c r="L17" s="719"/>
      <c r="M17" s="717">
        <f>M18+M48+M45+M71</f>
        <v>433.96</v>
      </c>
      <c r="N17" s="719"/>
      <c r="O17" s="216" t="s">
        <v>621</v>
      </c>
      <c r="P17" s="719">
        <f t="shared" si="1"/>
        <v>35.834000000000003</v>
      </c>
      <c r="Q17" s="719">
        <f t="shared" si="1"/>
        <v>42.793999999999997</v>
      </c>
      <c r="R17" s="216">
        <f>R48</f>
        <v>12.59</v>
      </c>
      <c r="S17" s="216">
        <f>S48</f>
        <v>12.59</v>
      </c>
      <c r="T17" s="216">
        <f>T48</f>
        <v>124</v>
      </c>
      <c r="U17" s="216">
        <f>U48+U45+U67+U71</f>
        <v>11315</v>
      </c>
    </row>
    <row r="18" spans="1:25" ht="135" customHeight="1" x14ac:dyDescent="0.3">
      <c r="A18" s="156" t="s">
        <v>545</v>
      </c>
      <c r="B18" s="209" t="s">
        <v>697</v>
      </c>
      <c r="C18" s="739" t="s">
        <v>621</v>
      </c>
      <c r="D18" s="721">
        <f>D19</f>
        <v>171.25</v>
      </c>
      <c r="E18" s="722"/>
      <c r="F18" s="721">
        <f>F19</f>
        <v>210.12</v>
      </c>
      <c r="G18" s="720" t="s">
        <v>621</v>
      </c>
      <c r="H18" s="720" t="s">
        <v>621</v>
      </c>
      <c r="I18" s="721">
        <f t="shared" si="0"/>
        <v>0</v>
      </c>
      <c r="J18" s="721">
        <f t="shared" si="0"/>
        <v>210.12</v>
      </c>
      <c r="K18" s="721">
        <f t="shared" si="0"/>
        <v>175.11</v>
      </c>
      <c r="L18" s="960"/>
      <c r="M18" s="721">
        <f>M19</f>
        <v>175.11</v>
      </c>
      <c r="N18" s="722"/>
      <c r="O18" s="720" t="s">
        <v>621</v>
      </c>
      <c r="P18" s="723">
        <f t="shared" si="1"/>
        <v>35.834000000000003</v>
      </c>
      <c r="Q18" s="723">
        <f t="shared" si="1"/>
        <v>42.793999999999997</v>
      </c>
      <c r="R18" s="720" t="s">
        <v>621</v>
      </c>
      <c r="S18" s="720" t="s">
        <v>621</v>
      </c>
      <c r="T18" s="720" t="s">
        <v>621</v>
      </c>
      <c r="U18" s="720" t="s">
        <v>621</v>
      </c>
      <c r="Y18" s="487"/>
    </row>
    <row r="19" spans="1:25" ht="102" customHeight="1" x14ac:dyDescent="0.3">
      <c r="A19" s="153" t="s">
        <v>595</v>
      </c>
      <c r="B19" s="641" t="s">
        <v>746</v>
      </c>
      <c r="C19" s="146" t="s">
        <v>621</v>
      </c>
      <c r="D19" s="717">
        <f>SUM(D20:D31)</f>
        <v>171.25</v>
      </c>
      <c r="E19" s="718"/>
      <c r="F19" s="717">
        <v>210.12</v>
      </c>
      <c r="G19" s="216" t="s">
        <v>621</v>
      </c>
      <c r="H19" s="216" t="s">
        <v>621</v>
      </c>
      <c r="I19" s="717">
        <f>SUM(I20:I31)</f>
        <v>0</v>
      </c>
      <c r="J19" s="717">
        <v>210.12</v>
      </c>
      <c r="K19" s="717">
        <f>SUM(K20:K44)</f>
        <v>175.11</v>
      </c>
      <c r="L19" s="718"/>
      <c r="M19" s="717">
        <f>SUM(M20:M44)</f>
        <v>175.11</v>
      </c>
      <c r="N19" s="718"/>
      <c r="O19" s="216" t="s">
        <v>621</v>
      </c>
      <c r="P19" s="719">
        <f>SUM(P20:P44)</f>
        <v>35.834000000000003</v>
      </c>
      <c r="Q19" s="719">
        <f>SUM(Q20:Q44)</f>
        <v>42.793999999999997</v>
      </c>
      <c r="R19" s="216" t="s">
        <v>621</v>
      </c>
      <c r="S19" s="216" t="s">
        <v>621</v>
      </c>
      <c r="T19" s="216" t="s">
        <v>621</v>
      </c>
      <c r="U19" s="216" t="s">
        <v>621</v>
      </c>
      <c r="X19" s="355"/>
      <c r="Y19" s="487"/>
    </row>
    <row r="20" spans="1:25" s="355" customFormat="1" ht="81" x14ac:dyDescent="0.3">
      <c r="A20" s="343" t="s">
        <v>814</v>
      </c>
      <c r="B20" s="344" t="s">
        <v>815</v>
      </c>
      <c r="C20" s="146" t="str">
        <f t="shared" ref="C20:C68" si="3">CONCATENATE("J","_",2021,"_",A20)</f>
        <v>J_2021_1.2.2.1.1</v>
      </c>
      <c r="D20" s="725">
        <f>'2 (цены с НДС)'!U23</f>
        <v>8.6999999999999993</v>
      </c>
      <c r="E20" s="344" t="s">
        <v>838</v>
      </c>
      <c r="F20" s="725">
        <f t="shared" ref="F20:F43" si="4">J20</f>
        <v>8.6999999999999993</v>
      </c>
      <c r="G20" s="724" t="s">
        <v>621</v>
      </c>
      <c r="H20" s="724" t="s">
        <v>621</v>
      </c>
      <c r="I20" s="725">
        <f>'2 (цены с НДС)'!CJ23</f>
        <v>0</v>
      </c>
      <c r="J20" s="725">
        <f>'2 (цены с НДС)'!S23</f>
        <v>8.6999999999999993</v>
      </c>
      <c r="K20" s="725">
        <f>'3 (цены без НДС)'!P23</f>
        <v>7.25</v>
      </c>
      <c r="L20" s="724">
        <v>2020</v>
      </c>
      <c r="M20" s="671">
        <f>'3 (цены без НДС)'!P23</f>
        <v>7.25</v>
      </c>
      <c r="N20" s="344" t="s">
        <v>833</v>
      </c>
      <c r="O20" s="724" t="s">
        <v>621</v>
      </c>
      <c r="P20" s="726">
        <f>'4'!CP25</f>
        <v>1.3</v>
      </c>
      <c r="Q20" s="726">
        <f>'7'!DI24</f>
        <v>1.3</v>
      </c>
      <c r="R20" s="216" t="s">
        <v>621</v>
      </c>
      <c r="S20" s="216" t="s">
        <v>621</v>
      </c>
      <c r="T20" s="216" t="s">
        <v>621</v>
      </c>
      <c r="U20" s="216" t="s">
        <v>621</v>
      </c>
      <c r="Y20" s="487"/>
    </row>
    <row r="21" spans="1:25" s="355" customFormat="1" ht="81" x14ac:dyDescent="0.3">
      <c r="A21" s="343" t="s">
        <v>813</v>
      </c>
      <c r="B21" s="344" t="s">
        <v>859</v>
      </c>
      <c r="C21" s="146" t="str">
        <f t="shared" si="3"/>
        <v>J_2021_1.2.2.1.2</v>
      </c>
      <c r="D21" s="725">
        <f>'2 (цены с НДС)'!U24</f>
        <v>3.52</v>
      </c>
      <c r="E21" s="344" t="s">
        <v>838</v>
      </c>
      <c r="F21" s="725">
        <f t="shared" si="4"/>
        <v>3.52</v>
      </c>
      <c r="G21" s="724" t="s">
        <v>621</v>
      </c>
      <c r="H21" s="724" t="s">
        <v>621</v>
      </c>
      <c r="I21" s="725">
        <f>'2 (цены с НДС)'!CJ24</f>
        <v>0</v>
      </c>
      <c r="J21" s="725">
        <f>'2 (цены с НДС)'!S24</f>
        <v>3.52</v>
      </c>
      <c r="K21" s="725">
        <f>'3 (цены без НДС)'!P24</f>
        <v>2.93</v>
      </c>
      <c r="L21" s="724">
        <v>2020</v>
      </c>
      <c r="M21" s="671">
        <f>'3 (цены без НДС)'!P24</f>
        <v>2.93</v>
      </c>
      <c r="N21" s="344" t="s">
        <v>833</v>
      </c>
      <c r="O21" s="724" t="s">
        <v>621</v>
      </c>
      <c r="P21" s="726">
        <f>'4'!CP26</f>
        <v>0.45300000000000001</v>
      </c>
      <c r="Q21" s="726">
        <f>'7'!DI25</f>
        <v>0.45300000000000001</v>
      </c>
      <c r="R21" s="216" t="s">
        <v>621</v>
      </c>
      <c r="S21" s="216" t="s">
        <v>621</v>
      </c>
      <c r="T21" s="216" t="s">
        <v>621</v>
      </c>
      <c r="U21" s="216" t="s">
        <v>621</v>
      </c>
      <c r="Y21" s="487"/>
    </row>
    <row r="22" spans="1:25" ht="183" customHeight="1" x14ac:dyDescent="0.3">
      <c r="A22" s="153" t="s">
        <v>817</v>
      </c>
      <c r="B22" s="641" t="s">
        <v>934</v>
      </c>
      <c r="C22" s="146" t="str">
        <f t="shared" si="3"/>
        <v>J_2021_1.2.2.1.3</v>
      </c>
      <c r="D22" s="725">
        <f>'2 (цены с НДС)'!U25</f>
        <v>18.649999999999999</v>
      </c>
      <c r="E22" s="641" t="s">
        <v>838</v>
      </c>
      <c r="F22" s="725">
        <f t="shared" si="4"/>
        <v>18.649999999999999</v>
      </c>
      <c r="G22" s="216" t="s">
        <v>621</v>
      </c>
      <c r="H22" s="216" t="s">
        <v>621</v>
      </c>
      <c r="I22" s="671">
        <f>'2 (цены с НДС)'!CJ25</f>
        <v>0</v>
      </c>
      <c r="J22" s="725">
        <f>'2 (цены с НДС)'!S25</f>
        <v>18.649999999999999</v>
      </c>
      <c r="K22" s="725">
        <f>'3 (цены без НДС)'!P25</f>
        <v>15.54</v>
      </c>
      <c r="L22" s="216">
        <v>2020</v>
      </c>
      <c r="M22" s="671">
        <f>'3 (цены без НДС)'!P25</f>
        <v>15.54</v>
      </c>
      <c r="N22" s="641" t="s">
        <v>833</v>
      </c>
      <c r="O22" s="216" t="s">
        <v>621</v>
      </c>
      <c r="P22" s="727">
        <f>'4'!CW27</f>
        <v>2.9289999999999998</v>
      </c>
      <c r="Q22" s="726">
        <f>'7'!DI26</f>
        <v>2.9289999999999998</v>
      </c>
      <c r="R22" s="216" t="s">
        <v>621</v>
      </c>
      <c r="S22" s="216" t="s">
        <v>621</v>
      </c>
      <c r="T22" s="216" t="s">
        <v>621</v>
      </c>
      <c r="U22" s="216" t="s">
        <v>621</v>
      </c>
      <c r="Y22" s="487"/>
    </row>
    <row r="23" spans="1:25" s="355" customFormat="1" ht="141.75" x14ac:dyDescent="0.3">
      <c r="A23" s="343" t="s">
        <v>819</v>
      </c>
      <c r="B23" s="344" t="s">
        <v>816</v>
      </c>
      <c r="C23" s="146" t="str">
        <f t="shared" si="3"/>
        <v>J_2021_1.2.2.1.4</v>
      </c>
      <c r="D23" s="725">
        <f>'2 (цены с НДС)'!U26</f>
        <v>15.32</v>
      </c>
      <c r="E23" s="344" t="s">
        <v>838</v>
      </c>
      <c r="F23" s="725">
        <f t="shared" si="4"/>
        <v>15.32</v>
      </c>
      <c r="G23" s="724" t="s">
        <v>621</v>
      </c>
      <c r="H23" s="724" t="s">
        <v>621</v>
      </c>
      <c r="I23" s="725">
        <f>'2 (цены с НДС)'!CJ26</f>
        <v>0</v>
      </c>
      <c r="J23" s="725">
        <f>'2 (цены с НДС)'!S26</f>
        <v>15.32</v>
      </c>
      <c r="K23" s="725">
        <f>'3 (цены без НДС)'!P26</f>
        <v>12.77</v>
      </c>
      <c r="L23" s="724">
        <v>2021</v>
      </c>
      <c r="M23" s="671">
        <f>'3 (цены без НДС)'!P26</f>
        <v>12.77</v>
      </c>
      <c r="N23" s="344" t="s">
        <v>833</v>
      </c>
      <c r="O23" s="724" t="s">
        <v>621</v>
      </c>
      <c r="P23" s="726">
        <f>'7'!DI27</f>
        <v>4.3159999999999998</v>
      </c>
      <c r="Q23" s="726">
        <f>'7'!DI27</f>
        <v>4.3159999999999998</v>
      </c>
      <c r="R23" s="216" t="s">
        <v>621</v>
      </c>
      <c r="S23" s="216" t="s">
        <v>621</v>
      </c>
      <c r="T23" s="216" t="s">
        <v>621</v>
      </c>
      <c r="U23" s="216" t="s">
        <v>621</v>
      </c>
      <c r="Y23" s="487"/>
    </row>
    <row r="24" spans="1:25" s="355" customFormat="1" ht="141.75" x14ac:dyDescent="0.3">
      <c r="A24" s="343" t="s">
        <v>820</v>
      </c>
      <c r="B24" s="344" t="s">
        <v>903</v>
      </c>
      <c r="C24" s="146" t="str">
        <f t="shared" si="3"/>
        <v>J_2021_1.2.2.1.5</v>
      </c>
      <c r="D24" s="725">
        <f>'2 (цены с НДС)'!U27</f>
        <v>24.2</v>
      </c>
      <c r="E24" s="344" t="s">
        <v>838</v>
      </c>
      <c r="F24" s="725">
        <f t="shared" si="4"/>
        <v>24.2</v>
      </c>
      <c r="G24" s="724" t="s">
        <v>621</v>
      </c>
      <c r="H24" s="724" t="s">
        <v>621</v>
      </c>
      <c r="I24" s="725">
        <f>'2 (цены с НДС)'!CJ27</f>
        <v>0</v>
      </c>
      <c r="J24" s="725">
        <f>'2 (цены с НДС)'!S27</f>
        <v>24.2</v>
      </c>
      <c r="K24" s="725">
        <f>'3 (цены без НДС)'!P27</f>
        <v>20.170000000000002</v>
      </c>
      <c r="L24" s="724">
        <v>2021</v>
      </c>
      <c r="M24" s="671">
        <f>'3 (цены без НДС)'!P27</f>
        <v>20.170000000000002</v>
      </c>
      <c r="N24" s="344" t="s">
        <v>833</v>
      </c>
      <c r="O24" s="724" t="s">
        <v>621</v>
      </c>
      <c r="P24" s="726">
        <f>'7'!DI28</f>
        <v>7.1050000000000004</v>
      </c>
      <c r="Q24" s="726">
        <f>'7'!DI28</f>
        <v>7.1050000000000004</v>
      </c>
      <c r="R24" s="216" t="s">
        <v>621</v>
      </c>
      <c r="S24" s="216" t="s">
        <v>621</v>
      </c>
      <c r="T24" s="216" t="s">
        <v>621</v>
      </c>
      <c r="U24" s="216" t="s">
        <v>621</v>
      </c>
      <c r="Y24" s="487"/>
    </row>
    <row r="25" spans="1:25" s="355" customFormat="1" ht="60.75" x14ac:dyDescent="0.3">
      <c r="A25" s="343" t="s">
        <v>863</v>
      </c>
      <c r="B25" s="344" t="s">
        <v>915</v>
      </c>
      <c r="C25" s="146" t="str">
        <f t="shared" si="3"/>
        <v>J_2021_1.2.2.1.6</v>
      </c>
      <c r="D25" s="725">
        <f>'2 (цены с НДС)'!U28</f>
        <v>0</v>
      </c>
      <c r="E25" s="344" t="s">
        <v>838</v>
      </c>
      <c r="F25" s="725">
        <f t="shared" si="4"/>
        <v>0</v>
      </c>
      <c r="G25" s="724" t="s">
        <v>621</v>
      </c>
      <c r="H25" s="724" t="s">
        <v>621</v>
      </c>
      <c r="I25" s="725">
        <f>'2 (цены с НДС)'!CJ28</f>
        <v>0</v>
      </c>
      <c r="J25" s="725">
        <f>'2 (цены с НДС)'!S28</f>
        <v>0</v>
      </c>
      <c r="K25" s="725">
        <f>'3 (цены без НДС)'!P28</f>
        <v>0</v>
      </c>
      <c r="L25" s="724">
        <v>2021</v>
      </c>
      <c r="M25" s="671">
        <f>'3 (цены без НДС)'!P28</f>
        <v>0</v>
      </c>
      <c r="N25" s="344" t="s">
        <v>833</v>
      </c>
      <c r="O25" s="724" t="s">
        <v>621</v>
      </c>
      <c r="P25" s="726">
        <f>'7'!DI29</f>
        <v>0</v>
      </c>
      <c r="Q25" s="726">
        <f>'7'!DI29</f>
        <v>0</v>
      </c>
      <c r="R25" s="216" t="s">
        <v>621</v>
      </c>
      <c r="S25" s="216" t="s">
        <v>621</v>
      </c>
      <c r="T25" s="216" t="s">
        <v>621</v>
      </c>
      <c r="U25" s="216" t="s">
        <v>621</v>
      </c>
      <c r="Y25" s="487"/>
    </row>
    <row r="26" spans="1:25" s="355" customFormat="1" ht="157.5" customHeight="1" x14ac:dyDescent="0.3">
      <c r="A26" s="343" t="s">
        <v>864</v>
      </c>
      <c r="B26" s="344" t="s">
        <v>818</v>
      </c>
      <c r="C26" s="146" t="str">
        <f t="shared" si="3"/>
        <v>J_2021_1.2.2.1.7</v>
      </c>
      <c r="D26" s="725">
        <f>'2 (цены с НДС)'!U29</f>
        <v>6.56</v>
      </c>
      <c r="E26" s="344" t="s">
        <v>838</v>
      </c>
      <c r="F26" s="725">
        <f t="shared" si="4"/>
        <v>6.56</v>
      </c>
      <c r="G26" s="724" t="s">
        <v>621</v>
      </c>
      <c r="H26" s="724" t="s">
        <v>621</v>
      </c>
      <c r="I26" s="725">
        <f>'2 (цены с НДС)'!CJ29</f>
        <v>0</v>
      </c>
      <c r="J26" s="725">
        <f>'2 (цены с НДС)'!S29</f>
        <v>6.56</v>
      </c>
      <c r="K26" s="725">
        <f>'3 (цены без НДС)'!P29</f>
        <v>5.47</v>
      </c>
      <c r="L26" s="724">
        <v>2022</v>
      </c>
      <c r="M26" s="671">
        <f>'3 (цены без НДС)'!P29</f>
        <v>5.47</v>
      </c>
      <c r="N26" s="344" t="s">
        <v>833</v>
      </c>
      <c r="O26" s="724" t="s">
        <v>621</v>
      </c>
      <c r="P26" s="726">
        <f>'7'!DI30</f>
        <v>1.3080000000000001</v>
      </c>
      <c r="Q26" s="726">
        <f>'7'!DI30</f>
        <v>1.3080000000000001</v>
      </c>
      <c r="R26" s="216" t="s">
        <v>621</v>
      </c>
      <c r="S26" s="216" t="s">
        <v>621</v>
      </c>
      <c r="T26" s="216" t="s">
        <v>621</v>
      </c>
      <c r="U26" s="216" t="s">
        <v>621</v>
      </c>
      <c r="Y26" s="487"/>
    </row>
    <row r="27" spans="1:25" s="355" customFormat="1" ht="168.75" customHeight="1" x14ac:dyDescent="0.3">
      <c r="A27" s="343" t="s">
        <v>868</v>
      </c>
      <c r="B27" s="344" t="s">
        <v>870</v>
      </c>
      <c r="C27" s="146" t="str">
        <f t="shared" si="3"/>
        <v>J_2021_1.2.2.1.8</v>
      </c>
      <c r="D27" s="725">
        <f>'2 (цены с НДС)'!U30</f>
        <v>0</v>
      </c>
      <c r="E27" s="344" t="s">
        <v>838</v>
      </c>
      <c r="F27" s="725">
        <f t="shared" si="4"/>
        <v>0</v>
      </c>
      <c r="G27" s="724" t="s">
        <v>621</v>
      </c>
      <c r="H27" s="724" t="s">
        <v>621</v>
      </c>
      <c r="I27" s="725">
        <f>'2 (цены с НДС)'!CJ30</f>
        <v>0</v>
      </c>
      <c r="J27" s="725">
        <f>'2 (цены с НДС)'!S30</f>
        <v>0</v>
      </c>
      <c r="K27" s="725">
        <f>'3 (цены без НДС)'!P30</f>
        <v>0</v>
      </c>
      <c r="L27" s="724">
        <v>2022</v>
      </c>
      <c r="M27" s="671">
        <f>'3 (цены без НДС)'!P30</f>
        <v>0</v>
      </c>
      <c r="N27" s="344" t="s">
        <v>833</v>
      </c>
      <c r="O27" s="724" t="s">
        <v>621</v>
      </c>
      <c r="P27" s="726">
        <f>'7'!DI31</f>
        <v>2.5670000000000002</v>
      </c>
      <c r="Q27" s="726">
        <f>'7'!DI31</f>
        <v>2.5670000000000002</v>
      </c>
      <c r="R27" s="216" t="s">
        <v>621</v>
      </c>
      <c r="S27" s="216" t="s">
        <v>621</v>
      </c>
      <c r="T27" s="216" t="s">
        <v>621</v>
      </c>
      <c r="U27" s="216" t="s">
        <v>621</v>
      </c>
      <c r="Y27" s="487"/>
    </row>
    <row r="28" spans="1:25" s="355" customFormat="1" ht="273.75" customHeight="1" x14ac:dyDescent="0.3">
      <c r="A28" s="343" t="s">
        <v>869</v>
      </c>
      <c r="B28" s="344" t="s">
        <v>876</v>
      </c>
      <c r="C28" s="146" t="str">
        <f t="shared" si="3"/>
        <v>J_2021_1.2.2.1.9</v>
      </c>
      <c r="D28" s="725">
        <f>'2 (цены с НДС)'!U31</f>
        <v>60.38</v>
      </c>
      <c r="E28" s="344" t="s">
        <v>838</v>
      </c>
      <c r="F28" s="725">
        <f t="shared" si="4"/>
        <v>60.38</v>
      </c>
      <c r="G28" s="724" t="s">
        <v>621</v>
      </c>
      <c r="H28" s="724" t="s">
        <v>621</v>
      </c>
      <c r="I28" s="725">
        <f>'2 (цены с НДС)'!CJ31</f>
        <v>0</v>
      </c>
      <c r="J28" s="725">
        <f>'2 (цены с НДС)'!S31</f>
        <v>60.38</v>
      </c>
      <c r="K28" s="725">
        <f>'3 (цены без НДС)'!P31</f>
        <v>50.32</v>
      </c>
      <c r="L28" s="724">
        <v>2023</v>
      </c>
      <c r="M28" s="671">
        <f>'3 (цены без НДС)'!P31</f>
        <v>50.32</v>
      </c>
      <c r="N28" s="344" t="s">
        <v>833</v>
      </c>
      <c r="O28" s="724" t="s">
        <v>621</v>
      </c>
      <c r="P28" s="726">
        <f>'7'!DI32</f>
        <v>4.8949999999999996</v>
      </c>
      <c r="Q28" s="726">
        <f>'7'!DI32</f>
        <v>4.8949999999999996</v>
      </c>
      <c r="R28" s="216" t="s">
        <v>621</v>
      </c>
      <c r="S28" s="216" t="s">
        <v>621</v>
      </c>
      <c r="T28" s="216" t="s">
        <v>621</v>
      </c>
      <c r="U28" s="216" t="s">
        <v>621</v>
      </c>
      <c r="Y28" s="487"/>
    </row>
    <row r="29" spans="1:25" s="355" customFormat="1" ht="60.75" x14ac:dyDescent="0.3">
      <c r="A29" s="343" t="s">
        <v>874</v>
      </c>
      <c r="B29" s="344" t="s">
        <v>821</v>
      </c>
      <c r="C29" s="146" t="str">
        <f t="shared" si="3"/>
        <v>J_2021_1.2.2.1.10</v>
      </c>
      <c r="D29" s="725">
        <f>'2 (цены с НДС)'!U32</f>
        <v>18.14</v>
      </c>
      <c r="E29" s="344" t="s">
        <v>838</v>
      </c>
      <c r="F29" s="725">
        <f t="shared" si="4"/>
        <v>18.14</v>
      </c>
      <c r="G29" s="724" t="s">
        <v>621</v>
      </c>
      <c r="H29" s="724" t="s">
        <v>621</v>
      </c>
      <c r="I29" s="725">
        <f>'2 (цены с НДС)'!CJ32</f>
        <v>0</v>
      </c>
      <c r="J29" s="725">
        <f>'2 (цены с НДС)'!S32</f>
        <v>18.14</v>
      </c>
      <c r="K29" s="725">
        <f>'3 (цены без НДС)'!P32</f>
        <v>15.12</v>
      </c>
      <c r="L29" s="724">
        <v>2024</v>
      </c>
      <c r="M29" s="671">
        <f>'3 (цены без НДС)'!P32</f>
        <v>15.12</v>
      </c>
      <c r="N29" s="344" t="s">
        <v>833</v>
      </c>
      <c r="O29" s="724" t="s">
        <v>621</v>
      </c>
      <c r="P29" s="726">
        <f>'7'!DI33</f>
        <v>1.538</v>
      </c>
      <c r="Q29" s="726">
        <f>'7'!DI33</f>
        <v>1.538</v>
      </c>
      <c r="R29" s="216" t="s">
        <v>621</v>
      </c>
      <c r="S29" s="216" t="s">
        <v>621</v>
      </c>
      <c r="T29" s="216" t="s">
        <v>621</v>
      </c>
      <c r="U29" s="216" t="s">
        <v>621</v>
      </c>
      <c r="Y29" s="487"/>
    </row>
    <row r="30" spans="1:25" s="355" customFormat="1" ht="101.25" x14ac:dyDescent="0.3">
      <c r="A30" s="343" t="s">
        <v>875</v>
      </c>
      <c r="B30" s="344" t="s">
        <v>1042</v>
      </c>
      <c r="C30" s="146" t="str">
        <f t="shared" si="3"/>
        <v>J_2021_1.2.2.1.11</v>
      </c>
      <c r="D30" s="725">
        <f>'2 (цены с НДС)'!U33</f>
        <v>1.85</v>
      </c>
      <c r="E30" s="344" t="s">
        <v>838</v>
      </c>
      <c r="F30" s="725">
        <f t="shared" si="4"/>
        <v>1.85</v>
      </c>
      <c r="G30" s="724" t="s">
        <v>621</v>
      </c>
      <c r="H30" s="724" t="s">
        <v>621</v>
      </c>
      <c r="I30" s="725">
        <f>'2 (цены с НДС)'!CJ33</f>
        <v>0</v>
      </c>
      <c r="J30" s="725">
        <f>'2 (цены с НДС)'!S33</f>
        <v>1.85</v>
      </c>
      <c r="K30" s="725">
        <f>'3 (цены без НДС)'!P33</f>
        <v>1.54</v>
      </c>
      <c r="L30" s="724">
        <v>2024</v>
      </c>
      <c r="M30" s="671">
        <f>'3 (цены без НДС)'!P33</f>
        <v>1.54</v>
      </c>
      <c r="N30" s="344" t="s">
        <v>833</v>
      </c>
      <c r="O30" s="724" t="s">
        <v>621</v>
      </c>
      <c r="P30" s="726">
        <f>'7'!DI34</f>
        <v>0.59499999999999997</v>
      </c>
      <c r="Q30" s="726">
        <f>'7'!DI34</f>
        <v>0.59499999999999997</v>
      </c>
      <c r="R30" s="216" t="s">
        <v>621</v>
      </c>
      <c r="S30" s="216" t="s">
        <v>621</v>
      </c>
      <c r="T30" s="216" t="s">
        <v>621</v>
      </c>
      <c r="U30" s="216" t="s">
        <v>621</v>
      </c>
      <c r="Y30" s="487"/>
    </row>
    <row r="31" spans="1:25" s="355" customFormat="1" ht="60.75" x14ac:dyDescent="0.3">
      <c r="A31" s="343" t="s">
        <v>884</v>
      </c>
      <c r="B31" s="344" t="s">
        <v>901</v>
      </c>
      <c r="C31" s="146" t="str">
        <f t="shared" si="3"/>
        <v>J_2021_1.2.2.1.12</v>
      </c>
      <c r="D31" s="725">
        <f>'2 (цены с НДС)'!U34</f>
        <v>13.93</v>
      </c>
      <c r="E31" s="344" t="s">
        <v>838</v>
      </c>
      <c r="F31" s="725">
        <f t="shared" si="4"/>
        <v>13.93</v>
      </c>
      <c r="G31" s="724" t="s">
        <v>621</v>
      </c>
      <c r="H31" s="724" t="s">
        <v>621</v>
      </c>
      <c r="I31" s="725">
        <f>'2 (цены с НДС)'!CJ34</f>
        <v>0</v>
      </c>
      <c r="J31" s="725">
        <f>'2 (цены с НДС)'!S34</f>
        <v>13.93</v>
      </c>
      <c r="K31" s="725">
        <f>'3 (цены без НДС)'!P34</f>
        <v>11.61</v>
      </c>
      <c r="L31" s="724">
        <v>2024</v>
      </c>
      <c r="M31" s="671">
        <f>'3 (цены без НДС)'!P34</f>
        <v>11.61</v>
      </c>
      <c r="N31" s="344" t="s">
        <v>833</v>
      </c>
      <c r="O31" s="724" t="s">
        <v>621</v>
      </c>
      <c r="P31" s="726">
        <f>'7'!DI35</f>
        <v>1.006</v>
      </c>
      <c r="Q31" s="726">
        <f>'7'!DI35</f>
        <v>1.006</v>
      </c>
      <c r="R31" s="216" t="s">
        <v>621</v>
      </c>
      <c r="S31" s="216" t="s">
        <v>621</v>
      </c>
      <c r="T31" s="216" t="s">
        <v>621</v>
      </c>
      <c r="U31" s="216" t="s">
        <v>621</v>
      </c>
      <c r="Y31" s="487"/>
    </row>
    <row r="32" spans="1:25" s="355" customFormat="1" ht="101.25" x14ac:dyDescent="0.3">
      <c r="A32" s="343" t="s">
        <v>1659</v>
      </c>
      <c r="B32" s="926" t="s">
        <v>1671</v>
      </c>
      <c r="C32" s="146" t="s">
        <v>1683</v>
      </c>
      <c r="D32" s="725">
        <v>6.59</v>
      </c>
      <c r="E32" s="344" t="s">
        <v>838</v>
      </c>
      <c r="F32" s="725">
        <f t="shared" si="4"/>
        <v>6.42</v>
      </c>
      <c r="G32" s="724" t="s">
        <v>621</v>
      </c>
      <c r="H32" s="724" t="s">
        <v>621</v>
      </c>
      <c r="I32" s="725" t="str">
        <f>'2 (цены с НДС)'!CJ35</f>
        <v>нд</v>
      </c>
      <c r="J32" s="725">
        <f>'2 (цены с НДС)'!S35</f>
        <v>6.42</v>
      </c>
      <c r="K32" s="725">
        <f>'3 (цены без НДС)'!P35</f>
        <v>5.35</v>
      </c>
      <c r="L32" s="724">
        <v>2021</v>
      </c>
      <c r="M32" s="671">
        <f>K32</f>
        <v>5.35</v>
      </c>
      <c r="N32" s="344" t="s">
        <v>833</v>
      </c>
      <c r="O32" s="724" t="s">
        <v>621</v>
      </c>
      <c r="P32" s="726">
        <f>'7'!DI36</f>
        <v>2.3039999999999998</v>
      </c>
      <c r="Q32" s="726">
        <f>'7'!DI36</f>
        <v>2.3039999999999998</v>
      </c>
      <c r="R32" s="216" t="s">
        <v>621</v>
      </c>
      <c r="S32" s="216" t="s">
        <v>621</v>
      </c>
      <c r="T32" s="216" t="s">
        <v>621</v>
      </c>
      <c r="U32" s="216" t="s">
        <v>621</v>
      </c>
      <c r="Y32" s="487"/>
    </row>
    <row r="33" spans="1:25" s="355" customFormat="1" ht="60.75" x14ac:dyDescent="0.3">
      <c r="A33" s="343" t="s">
        <v>1660</v>
      </c>
      <c r="B33" s="926" t="s">
        <v>1672</v>
      </c>
      <c r="C33" s="146" t="s">
        <v>1684</v>
      </c>
      <c r="D33" s="725">
        <v>2.37</v>
      </c>
      <c r="E33" s="344" t="s">
        <v>838</v>
      </c>
      <c r="F33" s="725">
        <f t="shared" si="4"/>
        <v>2.35</v>
      </c>
      <c r="G33" s="724" t="s">
        <v>621</v>
      </c>
      <c r="H33" s="724" t="s">
        <v>621</v>
      </c>
      <c r="I33" s="725" t="str">
        <f>'2 (цены с НДС)'!CJ36</f>
        <v>нд</v>
      </c>
      <c r="J33" s="725">
        <f>'2 (цены с НДС)'!S36</f>
        <v>2.35</v>
      </c>
      <c r="K33" s="725">
        <f>'3 (цены без НДС)'!P36</f>
        <v>1.96</v>
      </c>
      <c r="L33" s="724">
        <v>2021</v>
      </c>
      <c r="M33" s="671">
        <f t="shared" ref="M33:M43" si="5">K33</f>
        <v>1.96</v>
      </c>
      <c r="N33" s="344" t="s">
        <v>833</v>
      </c>
      <c r="O33" s="724" t="s">
        <v>621</v>
      </c>
      <c r="P33" s="726">
        <f>'7'!DI37</f>
        <v>0.95899999999999996</v>
      </c>
      <c r="Q33" s="726">
        <f>'7'!DI37</f>
        <v>0.95899999999999996</v>
      </c>
      <c r="R33" s="216" t="s">
        <v>621</v>
      </c>
      <c r="S33" s="216" t="s">
        <v>621</v>
      </c>
      <c r="T33" s="216" t="s">
        <v>621</v>
      </c>
      <c r="U33" s="216" t="s">
        <v>621</v>
      </c>
      <c r="Y33" s="487"/>
    </row>
    <row r="34" spans="1:25" s="355" customFormat="1" ht="60.75" x14ac:dyDescent="0.3">
      <c r="A34" s="343" t="s">
        <v>1661</v>
      </c>
      <c r="B34" s="926" t="s">
        <v>1673</v>
      </c>
      <c r="C34" s="146" t="s">
        <v>1685</v>
      </c>
      <c r="D34" s="725">
        <v>1.55</v>
      </c>
      <c r="E34" s="344" t="s">
        <v>838</v>
      </c>
      <c r="F34" s="725">
        <f t="shared" si="4"/>
        <v>1.5</v>
      </c>
      <c r="G34" s="724" t="s">
        <v>621</v>
      </c>
      <c r="H34" s="724" t="s">
        <v>621</v>
      </c>
      <c r="I34" s="725" t="str">
        <f>'2 (цены с НДС)'!CJ37</f>
        <v>нд</v>
      </c>
      <c r="J34" s="725">
        <f>'2 (цены с НДС)'!S37</f>
        <v>1.5</v>
      </c>
      <c r="K34" s="725">
        <f>'3 (цены без НДС)'!P37</f>
        <v>1.25</v>
      </c>
      <c r="L34" s="724">
        <v>2021</v>
      </c>
      <c r="M34" s="671">
        <f t="shared" si="5"/>
        <v>1.25</v>
      </c>
      <c r="N34" s="344" t="s">
        <v>833</v>
      </c>
      <c r="O34" s="724" t="s">
        <v>621</v>
      </c>
      <c r="P34" s="726">
        <f>'7'!DI38</f>
        <v>0.58199999999999996</v>
      </c>
      <c r="Q34" s="726">
        <f>'7'!DI38</f>
        <v>0.58199999999999996</v>
      </c>
      <c r="R34" s="216" t="s">
        <v>621</v>
      </c>
      <c r="S34" s="216" t="s">
        <v>621</v>
      </c>
      <c r="T34" s="216" t="s">
        <v>621</v>
      </c>
      <c r="U34" s="216" t="s">
        <v>621</v>
      </c>
      <c r="Y34" s="487"/>
    </row>
    <row r="35" spans="1:25" s="355" customFormat="1" ht="60.75" x14ac:dyDescent="0.3">
      <c r="A35" s="343" t="s">
        <v>1662</v>
      </c>
      <c r="B35" s="926" t="s">
        <v>1674</v>
      </c>
      <c r="C35" s="146" t="s">
        <v>1686</v>
      </c>
      <c r="D35" s="725">
        <v>1.97</v>
      </c>
      <c r="E35" s="344" t="s">
        <v>838</v>
      </c>
      <c r="F35" s="725">
        <f t="shared" si="4"/>
        <v>1.92</v>
      </c>
      <c r="G35" s="724" t="s">
        <v>621</v>
      </c>
      <c r="H35" s="724" t="s">
        <v>621</v>
      </c>
      <c r="I35" s="725" t="str">
        <f>'2 (цены с НДС)'!CJ38</f>
        <v>нд</v>
      </c>
      <c r="J35" s="725">
        <f>'2 (цены с НДС)'!S38</f>
        <v>1.92</v>
      </c>
      <c r="K35" s="725">
        <f>'3 (цены без НДС)'!P38</f>
        <v>1.6</v>
      </c>
      <c r="L35" s="724">
        <v>2021</v>
      </c>
      <c r="M35" s="671">
        <f t="shared" si="5"/>
        <v>1.6</v>
      </c>
      <c r="N35" s="344" t="s">
        <v>833</v>
      </c>
      <c r="O35" s="724" t="s">
        <v>621</v>
      </c>
      <c r="P35" s="726">
        <f>'7'!DI39</f>
        <v>0.46500000000000002</v>
      </c>
      <c r="Q35" s="726">
        <f>'7'!DI39</f>
        <v>0.46500000000000002</v>
      </c>
      <c r="R35" s="216" t="s">
        <v>621</v>
      </c>
      <c r="S35" s="216" t="s">
        <v>621</v>
      </c>
      <c r="T35" s="216" t="s">
        <v>621</v>
      </c>
      <c r="U35" s="216" t="s">
        <v>621</v>
      </c>
      <c r="Y35" s="487"/>
    </row>
    <row r="36" spans="1:25" s="355" customFormat="1" ht="60.75" x14ac:dyDescent="0.3">
      <c r="A36" s="343" t="s">
        <v>1663</v>
      </c>
      <c r="B36" s="926" t="s">
        <v>1675</v>
      </c>
      <c r="C36" s="146" t="s">
        <v>1687</v>
      </c>
      <c r="D36" s="725">
        <v>0.62</v>
      </c>
      <c r="E36" s="344" t="s">
        <v>838</v>
      </c>
      <c r="F36" s="725">
        <f t="shared" si="4"/>
        <v>0.96</v>
      </c>
      <c r="G36" s="724" t="s">
        <v>621</v>
      </c>
      <c r="H36" s="724" t="s">
        <v>621</v>
      </c>
      <c r="I36" s="725" t="str">
        <f>'2 (цены с НДС)'!CJ39</f>
        <v>нд</v>
      </c>
      <c r="J36" s="725">
        <f>'2 (цены с НДС)'!S39</f>
        <v>0.96</v>
      </c>
      <c r="K36" s="725">
        <f>'3 (цены без НДС)'!P39</f>
        <v>0.8</v>
      </c>
      <c r="L36" s="724">
        <v>2021</v>
      </c>
      <c r="M36" s="671">
        <f t="shared" si="5"/>
        <v>0.8</v>
      </c>
      <c r="N36" s="344" t="s">
        <v>833</v>
      </c>
      <c r="O36" s="724" t="s">
        <v>621</v>
      </c>
      <c r="P36" s="726">
        <f>'7'!DI40</f>
        <v>0.33800000000000002</v>
      </c>
      <c r="Q36" s="726">
        <f>'7'!DI40</f>
        <v>0.33800000000000002</v>
      </c>
      <c r="R36" s="216" t="s">
        <v>621</v>
      </c>
      <c r="S36" s="216" t="s">
        <v>621</v>
      </c>
      <c r="T36" s="216" t="s">
        <v>621</v>
      </c>
      <c r="U36" s="216" t="s">
        <v>621</v>
      </c>
      <c r="Y36" s="487"/>
    </row>
    <row r="37" spans="1:25" s="355" customFormat="1" ht="60.75" x14ac:dyDescent="0.3">
      <c r="A37" s="343" t="s">
        <v>1664</v>
      </c>
      <c r="B37" s="926" t="s">
        <v>1676</v>
      </c>
      <c r="C37" s="146" t="s">
        <v>1688</v>
      </c>
      <c r="D37" s="725">
        <v>0.79</v>
      </c>
      <c r="E37" s="344" t="s">
        <v>838</v>
      </c>
      <c r="F37" s="725">
        <f t="shared" si="4"/>
        <v>0.78</v>
      </c>
      <c r="G37" s="724" t="s">
        <v>621</v>
      </c>
      <c r="H37" s="724" t="s">
        <v>621</v>
      </c>
      <c r="I37" s="725" t="str">
        <f>'2 (цены с НДС)'!CJ40</f>
        <v>нд</v>
      </c>
      <c r="J37" s="725">
        <f>'2 (цены с НДС)'!S40</f>
        <v>0.78</v>
      </c>
      <c r="K37" s="725">
        <f>'3 (цены без НДС)'!P40</f>
        <v>0.65</v>
      </c>
      <c r="L37" s="724">
        <v>2021</v>
      </c>
      <c r="M37" s="671">
        <f t="shared" si="5"/>
        <v>0.65</v>
      </c>
      <c r="N37" s="344" t="s">
        <v>833</v>
      </c>
      <c r="O37" s="724" t="s">
        <v>621</v>
      </c>
      <c r="P37" s="726">
        <f>'7'!DI41</f>
        <v>0.379</v>
      </c>
      <c r="Q37" s="726">
        <f>'7'!DI41</f>
        <v>0.379</v>
      </c>
      <c r="R37" s="216" t="s">
        <v>621</v>
      </c>
      <c r="S37" s="216" t="s">
        <v>621</v>
      </c>
      <c r="T37" s="216" t="s">
        <v>621</v>
      </c>
      <c r="U37" s="216" t="s">
        <v>621</v>
      </c>
      <c r="Y37" s="487"/>
    </row>
    <row r="38" spans="1:25" s="355" customFormat="1" ht="60.75" x14ac:dyDescent="0.3">
      <c r="A38" s="343" t="s">
        <v>1665</v>
      </c>
      <c r="B38" s="926" t="s">
        <v>1677</v>
      </c>
      <c r="C38" s="146" t="s">
        <v>1689</v>
      </c>
      <c r="D38" s="725">
        <v>0.27</v>
      </c>
      <c r="E38" s="344" t="s">
        <v>838</v>
      </c>
      <c r="F38" s="725">
        <f t="shared" si="4"/>
        <v>0.24</v>
      </c>
      <c r="G38" s="724" t="s">
        <v>621</v>
      </c>
      <c r="H38" s="724" t="s">
        <v>621</v>
      </c>
      <c r="I38" s="725" t="str">
        <f>'2 (цены с НДС)'!CJ41</f>
        <v>нд</v>
      </c>
      <c r="J38" s="725">
        <f>'2 (цены с НДС)'!S41</f>
        <v>0.24</v>
      </c>
      <c r="K38" s="725">
        <f>'3 (цены без НДС)'!P41</f>
        <v>0.2</v>
      </c>
      <c r="L38" s="724">
        <v>2021</v>
      </c>
      <c r="M38" s="671">
        <f t="shared" si="5"/>
        <v>0.2</v>
      </c>
      <c r="N38" s="344" t="s">
        <v>833</v>
      </c>
      <c r="O38" s="724" t="s">
        <v>621</v>
      </c>
      <c r="P38" s="726">
        <f>'7'!DI42</f>
        <v>0.157</v>
      </c>
      <c r="Q38" s="726">
        <f>'7'!DI42</f>
        <v>0.157</v>
      </c>
      <c r="R38" s="216" t="s">
        <v>621</v>
      </c>
      <c r="S38" s="216" t="s">
        <v>621</v>
      </c>
      <c r="T38" s="216" t="s">
        <v>621</v>
      </c>
      <c r="U38" s="216" t="s">
        <v>621</v>
      </c>
      <c r="Y38" s="487"/>
    </row>
    <row r="39" spans="1:25" s="355" customFormat="1" ht="60.75" x14ac:dyDescent="0.3">
      <c r="A39" s="343" t="s">
        <v>1666</v>
      </c>
      <c r="B39" s="926" t="s">
        <v>1678</v>
      </c>
      <c r="C39" s="146" t="s">
        <v>1690</v>
      </c>
      <c r="D39" s="725">
        <v>0.47</v>
      </c>
      <c r="E39" s="344" t="s">
        <v>838</v>
      </c>
      <c r="F39" s="725">
        <f t="shared" si="4"/>
        <v>0.84</v>
      </c>
      <c r="G39" s="724" t="s">
        <v>621</v>
      </c>
      <c r="H39" s="724" t="s">
        <v>621</v>
      </c>
      <c r="I39" s="725" t="str">
        <f>'2 (цены с НДС)'!CJ42</f>
        <v>нд</v>
      </c>
      <c r="J39" s="725">
        <f>'2 (цены с НДС)'!S42</f>
        <v>0.84</v>
      </c>
      <c r="K39" s="725">
        <f>'3 (цены без НДС)'!P42</f>
        <v>0.7</v>
      </c>
      <c r="L39" s="724">
        <v>2021</v>
      </c>
      <c r="M39" s="671">
        <f t="shared" si="5"/>
        <v>0.7</v>
      </c>
      <c r="N39" s="344" t="s">
        <v>833</v>
      </c>
      <c r="O39" s="724" t="s">
        <v>621</v>
      </c>
      <c r="P39" s="726">
        <f>'7'!DI43</f>
        <v>0.37</v>
      </c>
      <c r="Q39" s="726">
        <f>'7'!DI43</f>
        <v>0.37</v>
      </c>
      <c r="R39" s="216" t="s">
        <v>621</v>
      </c>
      <c r="S39" s="216" t="s">
        <v>621</v>
      </c>
      <c r="T39" s="216" t="s">
        <v>621</v>
      </c>
      <c r="U39" s="216" t="s">
        <v>621</v>
      </c>
      <c r="Y39" s="487"/>
    </row>
    <row r="40" spans="1:25" s="355" customFormat="1" ht="60.75" x14ac:dyDescent="0.3">
      <c r="A40" s="343" t="s">
        <v>1667</v>
      </c>
      <c r="B40" s="926" t="s">
        <v>1679</v>
      </c>
      <c r="C40" s="146" t="s">
        <v>1691</v>
      </c>
      <c r="D40" s="725">
        <v>0.68</v>
      </c>
      <c r="E40" s="344" t="s">
        <v>838</v>
      </c>
      <c r="F40" s="725">
        <f t="shared" si="4"/>
        <v>1.08</v>
      </c>
      <c r="G40" s="724" t="s">
        <v>621</v>
      </c>
      <c r="H40" s="724" t="s">
        <v>621</v>
      </c>
      <c r="I40" s="725" t="str">
        <f>'2 (цены с НДС)'!CJ43</f>
        <v>нд</v>
      </c>
      <c r="J40" s="725">
        <f>'2 (цены с НДС)'!S43</f>
        <v>1.08</v>
      </c>
      <c r="K40" s="725">
        <f>'3 (цены без НДС)'!P43</f>
        <v>0.9</v>
      </c>
      <c r="L40" s="724">
        <v>2021</v>
      </c>
      <c r="M40" s="671">
        <f t="shared" si="5"/>
        <v>0.9</v>
      </c>
      <c r="N40" s="344" t="s">
        <v>833</v>
      </c>
      <c r="O40" s="724" t="s">
        <v>621</v>
      </c>
      <c r="P40" s="726">
        <f>'7'!DI44</f>
        <v>0.45400000000000001</v>
      </c>
      <c r="Q40" s="726">
        <f>'7'!DI44</f>
        <v>0.45400000000000001</v>
      </c>
      <c r="R40" s="216" t="s">
        <v>621</v>
      </c>
      <c r="S40" s="216" t="s">
        <v>621</v>
      </c>
      <c r="T40" s="216" t="s">
        <v>621</v>
      </c>
      <c r="U40" s="216" t="s">
        <v>621</v>
      </c>
      <c r="Y40" s="487"/>
    </row>
    <row r="41" spans="1:25" s="355" customFormat="1" ht="60.75" x14ac:dyDescent="0.3">
      <c r="A41" s="343" t="s">
        <v>1668</v>
      </c>
      <c r="B41" s="926" t="s">
        <v>1680</v>
      </c>
      <c r="C41" s="146" t="s">
        <v>1692</v>
      </c>
      <c r="D41" s="725">
        <v>0.73</v>
      </c>
      <c r="E41" s="344" t="s">
        <v>838</v>
      </c>
      <c r="F41" s="725">
        <f t="shared" si="4"/>
        <v>0.84</v>
      </c>
      <c r="G41" s="724" t="s">
        <v>621</v>
      </c>
      <c r="H41" s="724" t="s">
        <v>621</v>
      </c>
      <c r="I41" s="725" t="str">
        <f>'2 (цены с НДС)'!CJ44</f>
        <v>нд</v>
      </c>
      <c r="J41" s="725">
        <f>'2 (цены с НДС)'!S44</f>
        <v>0.84</v>
      </c>
      <c r="K41" s="725">
        <f>'3 (цены без НДС)'!P44</f>
        <v>0.7</v>
      </c>
      <c r="L41" s="724">
        <v>2021</v>
      </c>
      <c r="M41" s="671">
        <f t="shared" si="5"/>
        <v>0.7</v>
      </c>
      <c r="N41" s="344" t="s">
        <v>833</v>
      </c>
      <c r="O41" s="724" t="s">
        <v>621</v>
      </c>
      <c r="P41" s="726">
        <f>'7'!DI45</f>
        <v>0.36899999999999999</v>
      </c>
      <c r="Q41" s="726">
        <f>'7'!DI45</f>
        <v>0.36899999999999999</v>
      </c>
      <c r="R41" s="216" t="s">
        <v>621</v>
      </c>
      <c r="S41" s="216" t="s">
        <v>621</v>
      </c>
      <c r="T41" s="216" t="s">
        <v>621</v>
      </c>
      <c r="U41" s="216" t="s">
        <v>621</v>
      </c>
      <c r="Y41" s="487"/>
    </row>
    <row r="42" spans="1:25" s="355" customFormat="1" ht="60.75" x14ac:dyDescent="0.3">
      <c r="A42" s="343" t="s">
        <v>1669</v>
      </c>
      <c r="B42" s="926" t="s">
        <v>1681</v>
      </c>
      <c r="C42" s="146" t="s">
        <v>1693</v>
      </c>
      <c r="D42" s="725">
        <v>1.86</v>
      </c>
      <c r="E42" s="344" t="s">
        <v>838</v>
      </c>
      <c r="F42" s="725">
        <f t="shared" si="4"/>
        <v>2.16</v>
      </c>
      <c r="G42" s="724" t="s">
        <v>621</v>
      </c>
      <c r="H42" s="724" t="s">
        <v>621</v>
      </c>
      <c r="I42" s="725" t="str">
        <f>'2 (цены с НДС)'!CJ45</f>
        <v>нд</v>
      </c>
      <c r="J42" s="725">
        <f>'2 (цены с НДС)'!S45</f>
        <v>2.16</v>
      </c>
      <c r="K42" s="725">
        <f>'3 (цены без НДС)'!P45</f>
        <v>1.8</v>
      </c>
      <c r="L42" s="724">
        <v>2021</v>
      </c>
      <c r="M42" s="671">
        <f t="shared" si="5"/>
        <v>1.8</v>
      </c>
      <c r="N42" s="344" t="s">
        <v>833</v>
      </c>
      <c r="O42" s="724" t="s">
        <v>621</v>
      </c>
      <c r="P42" s="726">
        <f>'7'!DI46</f>
        <v>1.032</v>
      </c>
      <c r="Q42" s="726">
        <f>'7'!DI46</f>
        <v>1.032</v>
      </c>
      <c r="R42" s="216" t="s">
        <v>621</v>
      </c>
      <c r="S42" s="216" t="s">
        <v>621</v>
      </c>
      <c r="T42" s="216" t="s">
        <v>621</v>
      </c>
      <c r="U42" s="216" t="s">
        <v>621</v>
      </c>
      <c r="Y42" s="487"/>
    </row>
    <row r="43" spans="1:25" s="355" customFormat="1" ht="60.75" x14ac:dyDescent="0.3">
      <c r="A43" s="343" t="s">
        <v>1670</v>
      </c>
      <c r="B43" s="926" t="s">
        <v>1682</v>
      </c>
      <c r="C43" s="146" t="s">
        <v>1694</v>
      </c>
      <c r="D43" s="725">
        <v>0.83</v>
      </c>
      <c r="E43" s="344" t="s">
        <v>838</v>
      </c>
      <c r="F43" s="725">
        <f t="shared" si="4"/>
        <v>0.96</v>
      </c>
      <c r="G43" s="724" t="s">
        <v>621</v>
      </c>
      <c r="H43" s="724" t="s">
        <v>621</v>
      </c>
      <c r="I43" s="725" t="str">
        <f>'2 (цены с НДС)'!CJ46</f>
        <v>нд</v>
      </c>
      <c r="J43" s="725">
        <f>'2 (цены с НДС)'!S46</f>
        <v>0.96</v>
      </c>
      <c r="K43" s="725">
        <f>'3 (цены без НДС)'!P46</f>
        <v>0.8</v>
      </c>
      <c r="L43" s="724">
        <v>2021</v>
      </c>
      <c r="M43" s="671">
        <f t="shared" si="5"/>
        <v>0.8</v>
      </c>
      <c r="N43" s="344" t="s">
        <v>833</v>
      </c>
      <c r="O43" s="724" t="s">
        <v>621</v>
      </c>
      <c r="P43" s="726">
        <f>'7'!DI47</f>
        <v>0.41299999999999998</v>
      </c>
      <c r="Q43" s="726">
        <f>'7'!DI47</f>
        <v>0.41299999999999998</v>
      </c>
      <c r="R43" s="216" t="s">
        <v>621</v>
      </c>
      <c r="S43" s="216" t="s">
        <v>621</v>
      </c>
      <c r="T43" s="216" t="s">
        <v>621</v>
      </c>
      <c r="U43" s="216" t="s">
        <v>621</v>
      </c>
      <c r="Y43" s="487"/>
    </row>
    <row r="44" spans="1:25" s="355" customFormat="1" ht="81" x14ac:dyDescent="0.3">
      <c r="A44" s="915" t="s">
        <v>1716</v>
      </c>
      <c r="B44" s="1068" t="s">
        <v>1715</v>
      </c>
      <c r="C44" s="146" t="s">
        <v>1730</v>
      </c>
      <c r="D44" s="725"/>
      <c r="E44" s="344" t="s">
        <v>838</v>
      </c>
      <c r="F44" s="725">
        <f>J44</f>
        <v>18.82</v>
      </c>
      <c r="G44" s="724" t="s">
        <v>621</v>
      </c>
      <c r="H44" s="724" t="s">
        <v>621</v>
      </c>
      <c r="I44" s="725" t="str">
        <f>'2 (цены с НДС)'!CJ47</f>
        <v>нд</v>
      </c>
      <c r="J44" s="725">
        <f>'2 (цены с НДС)'!S47</f>
        <v>18.82</v>
      </c>
      <c r="K44" s="725">
        <f>'3 (цены без НДС)'!P47</f>
        <v>15.68</v>
      </c>
      <c r="L44" s="724">
        <v>2022</v>
      </c>
      <c r="M44" s="671">
        <v>15.68</v>
      </c>
      <c r="N44" s="344"/>
      <c r="O44" s="724"/>
      <c r="P44" s="726">
        <v>0</v>
      </c>
      <c r="Q44" s="726">
        <f>'7'!DI48</f>
        <v>6.96</v>
      </c>
      <c r="R44" s="216" t="s">
        <v>621</v>
      </c>
      <c r="S44" s="216" t="s">
        <v>621</v>
      </c>
      <c r="T44" s="216" t="s">
        <v>621</v>
      </c>
      <c r="U44" s="216" t="s">
        <v>621</v>
      </c>
      <c r="Y44" s="487"/>
    </row>
    <row r="45" spans="1:25" s="355" customFormat="1" ht="81" x14ac:dyDescent="0.3">
      <c r="A45" s="1086" t="s">
        <v>546</v>
      </c>
      <c r="B45" s="1087" t="s">
        <v>739</v>
      </c>
      <c r="C45" s="1088" t="s">
        <v>621</v>
      </c>
      <c r="D45" s="1089">
        <f>'2 (цены с НДС)'!U48</f>
        <v>134.25</v>
      </c>
      <c r="E45" s="1090"/>
      <c r="F45" s="1089">
        <f>F46</f>
        <v>134.25</v>
      </c>
      <c r="G45" s="1089">
        <f t="shared" ref="G45:M46" si="6">G46</f>
        <v>0</v>
      </c>
      <c r="H45" s="1089">
        <f t="shared" si="6"/>
        <v>0</v>
      </c>
      <c r="I45" s="1089">
        <f t="shared" si="6"/>
        <v>81.81</v>
      </c>
      <c r="J45" s="1089">
        <f t="shared" si="6"/>
        <v>52.44</v>
      </c>
      <c r="K45" s="1089">
        <f t="shared" si="6"/>
        <v>111.88</v>
      </c>
      <c r="L45" s="1089" t="str">
        <f t="shared" si="6"/>
        <v>2021-2024</v>
      </c>
      <c r="M45" s="1089">
        <f t="shared" si="6"/>
        <v>111.88</v>
      </c>
      <c r="N45" s="1090" t="s">
        <v>952</v>
      </c>
      <c r="O45" s="1091" t="s">
        <v>621</v>
      </c>
      <c r="P45" s="1091" t="s">
        <v>621</v>
      </c>
      <c r="Q45" s="1091" t="s">
        <v>621</v>
      </c>
      <c r="R45" s="1091" t="s">
        <v>621</v>
      </c>
      <c r="S45" s="1091" t="s">
        <v>621</v>
      </c>
      <c r="T45" s="1091" t="s">
        <v>621</v>
      </c>
      <c r="U45" s="729">
        <f>U47</f>
        <v>11185</v>
      </c>
      <c r="Y45" s="487"/>
    </row>
    <row r="46" spans="1:25" s="355" customFormat="1" ht="60.75" x14ac:dyDescent="0.3">
      <c r="A46" s="153" t="s">
        <v>599</v>
      </c>
      <c r="B46" s="154" t="s">
        <v>740</v>
      </c>
      <c r="C46" s="146" t="str">
        <f t="shared" si="3"/>
        <v>J_2021_1.2.3.1</v>
      </c>
      <c r="D46" s="725">
        <f>'2 (цены с НДС)'!U49</f>
        <v>134.25</v>
      </c>
      <c r="E46" s="344" t="s">
        <v>954</v>
      </c>
      <c r="F46" s="725">
        <f>F47</f>
        <v>134.25</v>
      </c>
      <c r="G46" s="725">
        <f t="shared" si="6"/>
        <v>0</v>
      </c>
      <c r="H46" s="725">
        <f t="shared" si="6"/>
        <v>0</v>
      </c>
      <c r="I46" s="725">
        <f t="shared" si="6"/>
        <v>81.81</v>
      </c>
      <c r="J46" s="725">
        <f t="shared" si="6"/>
        <v>52.44</v>
      </c>
      <c r="K46" s="725">
        <f t="shared" si="6"/>
        <v>111.88</v>
      </c>
      <c r="L46" s="725" t="s">
        <v>950</v>
      </c>
      <c r="M46" s="671">
        <f>'3 (цены без НДС)'!P49</f>
        <v>111.88</v>
      </c>
      <c r="N46" s="641" t="s">
        <v>952</v>
      </c>
      <c r="O46" s="724" t="s">
        <v>621</v>
      </c>
      <c r="P46" s="724" t="s">
        <v>621</v>
      </c>
      <c r="Q46" s="724" t="s">
        <v>621</v>
      </c>
      <c r="R46" s="724" t="s">
        <v>621</v>
      </c>
      <c r="S46" s="724" t="s">
        <v>621</v>
      </c>
      <c r="T46" s="724" t="s">
        <v>621</v>
      </c>
      <c r="U46" s="724">
        <f>U47</f>
        <v>11185</v>
      </c>
      <c r="Y46" s="487"/>
    </row>
    <row r="47" spans="1:25" s="355" customFormat="1" ht="60.75" x14ac:dyDescent="0.3">
      <c r="A47" s="730" t="s">
        <v>947</v>
      </c>
      <c r="B47" s="572" t="s">
        <v>948</v>
      </c>
      <c r="C47" s="146" t="str">
        <f t="shared" si="3"/>
        <v>J_2021_1.2.3.1.1</v>
      </c>
      <c r="D47" s="725">
        <f>'2 (цены с НДС)'!U50</f>
        <v>134.25</v>
      </c>
      <c r="E47" s="344" t="s">
        <v>954</v>
      </c>
      <c r="F47" s="725">
        <f>I47+J47</f>
        <v>134.25</v>
      </c>
      <c r="G47" s="725">
        <f>G48</f>
        <v>0</v>
      </c>
      <c r="H47" s="725">
        <f>H48</f>
        <v>0</v>
      </c>
      <c r="I47" s="725">
        <f>'2 (цены с НДС)'!CO50</f>
        <v>81.81</v>
      </c>
      <c r="J47" s="725">
        <f>'2 (цены с НДС)'!CP50</f>
        <v>52.44</v>
      </c>
      <c r="K47" s="725">
        <f>F47/1.2</f>
        <v>111.88</v>
      </c>
      <c r="L47" s="725" t="s">
        <v>950</v>
      </c>
      <c r="M47" s="671">
        <f>'3 (цены без НДС)'!P50</f>
        <v>111.88</v>
      </c>
      <c r="N47" s="641" t="s">
        <v>952</v>
      </c>
      <c r="O47" s="724" t="s">
        <v>621</v>
      </c>
      <c r="P47" s="724" t="s">
        <v>621</v>
      </c>
      <c r="Q47" s="724" t="s">
        <v>621</v>
      </c>
      <c r="R47" s="724" t="s">
        <v>621</v>
      </c>
      <c r="S47" s="724" t="s">
        <v>621</v>
      </c>
      <c r="T47" s="724" t="s">
        <v>621</v>
      </c>
      <c r="U47" s="724">
        <f>'7'!DK49</f>
        <v>11185</v>
      </c>
      <c r="Y47" s="487"/>
    </row>
    <row r="48" spans="1:25" s="355" customFormat="1" ht="154.5" customHeight="1" x14ac:dyDescent="0.3">
      <c r="A48" s="156" t="s">
        <v>547</v>
      </c>
      <c r="B48" s="209" t="s">
        <v>705</v>
      </c>
      <c r="C48" s="739" t="s">
        <v>621</v>
      </c>
      <c r="D48" s="728">
        <f ca="1">D49</f>
        <v>158.57</v>
      </c>
      <c r="E48" s="209"/>
      <c r="F48" s="728">
        <f>J48</f>
        <v>159.97</v>
      </c>
      <c r="G48" s="720"/>
      <c r="H48" s="720"/>
      <c r="I48" s="728">
        <f>I49</f>
        <v>0</v>
      </c>
      <c r="J48" s="728">
        <f>J49</f>
        <v>159.97</v>
      </c>
      <c r="K48" s="728">
        <f>K49</f>
        <v>133.31</v>
      </c>
      <c r="L48" s="720"/>
      <c r="M48" s="728">
        <f>M49</f>
        <v>133.31</v>
      </c>
      <c r="N48" s="209"/>
      <c r="O48" s="720"/>
      <c r="P48" s="731"/>
      <c r="Q48" s="731"/>
      <c r="R48" s="720">
        <f>R49</f>
        <v>12.59</v>
      </c>
      <c r="S48" s="720">
        <f>S49</f>
        <v>12.59</v>
      </c>
      <c r="T48" s="720">
        <f>T49</f>
        <v>124</v>
      </c>
      <c r="U48" s="720">
        <f>U49</f>
        <v>124</v>
      </c>
      <c r="Y48" s="487"/>
    </row>
    <row r="49" spans="1:25" s="355" customFormat="1" ht="105.75" customHeight="1" x14ac:dyDescent="0.3">
      <c r="A49" s="156" t="s">
        <v>604</v>
      </c>
      <c r="B49" s="209" t="s">
        <v>707</v>
      </c>
      <c r="C49" s="739" t="s">
        <v>621</v>
      </c>
      <c r="D49" s="728">
        <f ca="1">SUM(D50:D70)</f>
        <v>158.57</v>
      </c>
      <c r="E49" s="209"/>
      <c r="F49" s="728">
        <f>J49</f>
        <v>159.97</v>
      </c>
      <c r="G49" s="720"/>
      <c r="H49" s="720"/>
      <c r="I49" s="728">
        <f>SUM(I50:I66)</f>
        <v>0</v>
      </c>
      <c r="J49" s="728">
        <v>159.97</v>
      </c>
      <c r="K49" s="728">
        <v>133.31</v>
      </c>
      <c r="L49" s="720"/>
      <c r="M49" s="728">
        <v>133.31</v>
      </c>
      <c r="N49" s="209"/>
      <c r="O49" s="720"/>
      <c r="P49" s="731"/>
      <c r="Q49" s="731"/>
      <c r="R49" s="720">
        <v>12.59</v>
      </c>
      <c r="S49" s="720">
        <f>SUM(S50:S70)</f>
        <v>12.59</v>
      </c>
      <c r="T49" s="720">
        <v>124</v>
      </c>
      <c r="U49" s="720">
        <v>124</v>
      </c>
      <c r="Y49" s="487"/>
    </row>
    <row r="50" spans="1:25" s="355" customFormat="1" ht="60.75" x14ac:dyDescent="0.3">
      <c r="A50" s="343" t="s">
        <v>885</v>
      </c>
      <c r="B50" s="344" t="s">
        <v>860</v>
      </c>
      <c r="C50" s="146" t="str">
        <f t="shared" si="3"/>
        <v>J_2021_1.2.4.2.1</v>
      </c>
      <c r="D50" s="725">
        <f>'2 (цены с НДС)'!U53</f>
        <v>9.17</v>
      </c>
      <c r="E50" s="344" t="s">
        <v>838</v>
      </c>
      <c r="F50" s="725">
        <f t="shared" ref="F50:F68" si="7">J50</f>
        <v>9.17</v>
      </c>
      <c r="G50" s="724" t="s">
        <v>621</v>
      </c>
      <c r="H50" s="724" t="s">
        <v>621</v>
      </c>
      <c r="I50" s="725">
        <f>'2 (цены с НДС)'!CJ53</f>
        <v>0</v>
      </c>
      <c r="J50" s="725">
        <f>'2 (цены с НДС)'!S53</f>
        <v>9.17</v>
      </c>
      <c r="K50" s="725">
        <f t="shared" ref="K50:K69" si="8">J50/1.2</f>
        <v>7.64</v>
      </c>
      <c r="L50" s="724">
        <v>2020</v>
      </c>
      <c r="M50" s="671">
        <f>'3 (цены без НДС)'!P53</f>
        <v>7.64</v>
      </c>
      <c r="N50" s="344" t="s">
        <v>833</v>
      </c>
      <c r="O50" s="724" t="s">
        <v>621</v>
      </c>
      <c r="P50" s="726" t="s">
        <v>621</v>
      </c>
      <c r="Q50" s="726" t="s">
        <v>621</v>
      </c>
      <c r="R50" s="992">
        <v>0.8</v>
      </c>
      <c r="S50" s="724">
        <f>R50</f>
        <v>0.8</v>
      </c>
      <c r="T50" s="724">
        <f>'7'!J54</f>
        <v>0</v>
      </c>
      <c r="U50" s="724">
        <f>T50</f>
        <v>0</v>
      </c>
      <c r="Y50" s="487"/>
    </row>
    <row r="51" spans="1:25" s="355" customFormat="1" ht="60.75" x14ac:dyDescent="0.3">
      <c r="A51" s="343" t="s">
        <v>886</v>
      </c>
      <c r="B51" s="344" t="s">
        <v>861</v>
      </c>
      <c r="C51" s="146" t="str">
        <f t="shared" si="3"/>
        <v>J_2021_1.2.4.2.2</v>
      </c>
      <c r="D51" s="725">
        <f>'2 (цены с НДС)'!U54</f>
        <v>6.69</v>
      </c>
      <c r="E51" s="344" t="s">
        <v>838</v>
      </c>
      <c r="F51" s="725">
        <f t="shared" si="7"/>
        <v>6.69</v>
      </c>
      <c r="G51" s="724" t="s">
        <v>621</v>
      </c>
      <c r="H51" s="724" t="s">
        <v>621</v>
      </c>
      <c r="I51" s="725">
        <f>'2 (цены с НДС)'!CJ54</f>
        <v>0</v>
      </c>
      <c r="J51" s="725">
        <f>'2 (цены с НДС)'!S54</f>
        <v>6.69</v>
      </c>
      <c r="K51" s="725">
        <f t="shared" si="8"/>
        <v>5.58</v>
      </c>
      <c r="L51" s="724">
        <v>2020</v>
      </c>
      <c r="M51" s="671">
        <f>'3 (цены без НДС)'!P54</f>
        <v>5.58</v>
      </c>
      <c r="N51" s="344" t="s">
        <v>833</v>
      </c>
      <c r="O51" s="724" t="s">
        <v>621</v>
      </c>
      <c r="P51" s="726" t="s">
        <v>621</v>
      </c>
      <c r="Q51" s="726" t="s">
        <v>621</v>
      </c>
      <c r="R51" s="992">
        <v>0.8</v>
      </c>
      <c r="S51" s="724">
        <f t="shared" ref="S51:S66" si="9">R51</f>
        <v>0.8</v>
      </c>
      <c r="T51" s="724">
        <f>'7'!J55</f>
        <v>0</v>
      </c>
      <c r="U51" s="724">
        <f t="shared" ref="U51:U65" si="10">T51</f>
        <v>0</v>
      </c>
      <c r="Y51" s="487"/>
    </row>
    <row r="52" spans="1:25" s="355" customFormat="1" ht="60.75" x14ac:dyDescent="0.3">
      <c r="A52" s="343" t="s">
        <v>887</v>
      </c>
      <c r="B52" s="344" t="s">
        <v>862</v>
      </c>
      <c r="C52" s="146" t="str">
        <f t="shared" si="3"/>
        <v>J_2021_1.2.4.2.3</v>
      </c>
      <c r="D52" s="725">
        <f>'2 (цены с НДС)'!U55</f>
        <v>25.86</v>
      </c>
      <c r="E52" s="344" t="s">
        <v>838</v>
      </c>
      <c r="F52" s="725">
        <f t="shared" si="7"/>
        <v>25.86</v>
      </c>
      <c r="G52" s="724" t="s">
        <v>621</v>
      </c>
      <c r="H52" s="724" t="s">
        <v>621</v>
      </c>
      <c r="I52" s="725">
        <f>'2 (цены с НДС)'!CJ55</f>
        <v>0</v>
      </c>
      <c r="J52" s="725">
        <f>'2 (цены с НДС)'!S55</f>
        <v>25.86</v>
      </c>
      <c r="K52" s="725">
        <f t="shared" si="8"/>
        <v>21.55</v>
      </c>
      <c r="L52" s="724">
        <v>2020</v>
      </c>
      <c r="M52" s="671">
        <f>'3 (цены без НДС)'!P55</f>
        <v>21.55</v>
      </c>
      <c r="N52" s="344" t="s">
        <v>833</v>
      </c>
      <c r="O52" s="724" t="s">
        <v>621</v>
      </c>
      <c r="P52" s="726" t="s">
        <v>621</v>
      </c>
      <c r="Q52" s="726" t="s">
        <v>621</v>
      </c>
      <c r="R52" s="992">
        <v>0</v>
      </c>
      <c r="S52" s="724">
        <f t="shared" si="9"/>
        <v>0</v>
      </c>
      <c r="T52" s="724">
        <f>'7'!J56</f>
        <v>28</v>
      </c>
      <c r="U52" s="724">
        <f t="shared" si="10"/>
        <v>28</v>
      </c>
      <c r="Y52" s="487"/>
    </row>
    <row r="53" spans="1:25" s="355" customFormat="1" ht="60.75" x14ac:dyDescent="0.3">
      <c r="A53" s="343" t="s">
        <v>888</v>
      </c>
      <c r="B53" s="344" t="s">
        <v>866</v>
      </c>
      <c r="C53" s="146" t="str">
        <f t="shared" si="3"/>
        <v>J_2021_1.2.4.2.4</v>
      </c>
      <c r="D53" s="725">
        <f>'2 (цены с НДС)'!U56</f>
        <v>0</v>
      </c>
      <c r="E53" s="344" t="s">
        <v>838</v>
      </c>
      <c r="F53" s="725">
        <f t="shared" si="7"/>
        <v>0</v>
      </c>
      <c r="G53" s="724" t="s">
        <v>621</v>
      </c>
      <c r="H53" s="724" t="s">
        <v>621</v>
      </c>
      <c r="I53" s="725">
        <f>'2 (цены с НДС)'!CJ56</f>
        <v>0</v>
      </c>
      <c r="J53" s="725">
        <f>'2 (цены с НДС)'!S56</f>
        <v>0</v>
      </c>
      <c r="K53" s="725">
        <f t="shared" si="8"/>
        <v>0</v>
      </c>
      <c r="L53" s="724">
        <v>2021</v>
      </c>
      <c r="M53" s="671">
        <f>'3 (цены без НДС)'!P56</f>
        <v>0</v>
      </c>
      <c r="N53" s="344" t="s">
        <v>833</v>
      </c>
      <c r="O53" s="724" t="s">
        <v>621</v>
      </c>
      <c r="P53" s="726" t="s">
        <v>621</v>
      </c>
      <c r="Q53" s="726" t="s">
        <v>621</v>
      </c>
      <c r="R53" s="992">
        <v>0.8</v>
      </c>
      <c r="S53" s="724">
        <f t="shared" si="9"/>
        <v>0.8</v>
      </c>
      <c r="T53" s="724">
        <f>'7'!J57</f>
        <v>0</v>
      </c>
      <c r="U53" s="724">
        <f t="shared" si="10"/>
        <v>0</v>
      </c>
      <c r="Y53" s="487"/>
    </row>
    <row r="54" spans="1:25" s="355" customFormat="1" ht="101.25" x14ac:dyDescent="0.3">
      <c r="A54" s="343" t="s">
        <v>889</v>
      </c>
      <c r="B54" s="344" t="s">
        <v>916</v>
      </c>
      <c r="C54" s="146" t="str">
        <f t="shared" si="3"/>
        <v>J_2021_1.2.4.2.5</v>
      </c>
      <c r="D54" s="725">
        <f>'2 (цены с НДС)'!U57</f>
        <v>14.48</v>
      </c>
      <c r="E54" s="344" t="s">
        <v>838</v>
      </c>
      <c r="F54" s="725">
        <f t="shared" si="7"/>
        <v>14.48</v>
      </c>
      <c r="G54" s="724" t="s">
        <v>621</v>
      </c>
      <c r="H54" s="724" t="s">
        <v>621</v>
      </c>
      <c r="I54" s="725">
        <f>'2 (цены с НДС)'!CJ57</f>
        <v>0</v>
      </c>
      <c r="J54" s="725">
        <f>'2 (цены с НДС)'!S57</f>
        <v>14.48</v>
      </c>
      <c r="K54" s="725">
        <f t="shared" si="8"/>
        <v>12.07</v>
      </c>
      <c r="L54" s="724">
        <v>2021</v>
      </c>
      <c r="M54" s="671">
        <f>'3 (цены без НДС)'!P57</f>
        <v>12.07</v>
      </c>
      <c r="N54" s="344" t="s">
        <v>833</v>
      </c>
      <c r="O54" s="724" t="s">
        <v>621</v>
      </c>
      <c r="P54" s="726" t="s">
        <v>621</v>
      </c>
      <c r="Q54" s="726" t="s">
        <v>621</v>
      </c>
      <c r="R54" s="992">
        <v>0</v>
      </c>
      <c r="S54" s="724">
        <f t="shared" si="9"/>
        <v>0</v>
      </c>
      <c r="T54" s="724">
        <f>'7'!J58</f>
        <v>18</v>
      </c>
      <c r="U54" s="724">
        <f t="shared" si="10"/>
        <v>18</v>
      </c>
      <c r="Y54" s="487"/>
    </row>
    <row r="55" spans="1:25" s="355" customFormat="1" ht="60.75" x14ac:dyDescent="0.3">
      <c r="A55" s="343" t="s">
        <v>890</v>
      </c>
      <c r="B55" s="344" t="s">
        <v>871</v>
      </c>
      <c r="C55" s="146" t="str">
        <f t="shared" si="3"/>
        <v>J_2021_1.2.4.2.6</v>
      </c>
      <c r="D55" s="725">
        <f>'2 (цены с НДС)'!U58</f>
        <v>0</v>
      </c>
      <c r="E55" s="344" t="s">
        <v>838</v>
      </c>
      <c r="F55" s="725">
        <f t="shared" si="7"/>
        <v>0</v>
      </c>
      <c r="G55" s="724" t="s">
        <v>621</v>
      </c>
      <c r="H55" s="724" t="s">
        <v>621</v>
      </c>
      <c r="I55" s="725">
        <f>'2 (цены с НДС)'!CJ58</f>
        <v>0</v>
      </c>
      <c r="J55" s="725">
        <f>'2 (цены с НДС)'!S58</f>
        <v>0</v>
      </c>
      <c r="K55" s="725">
        <f t="shared" si="8"/>
        <v>0</v>
      </c>
      <c r="L55" s="724">
        <v>2022</v>
      </c>
      <c r="M55" s="671">
        <f>'3 (цены без НДС)'!P58</f>
        <v>0</v>
      </c>
      <c r="N55" s="344" t="s">
        <v>833</v>
      </c>
      <c r="O55" s="724" t="s">
        <v>621</v>
      </c>
      <c r="P55" s="726" t="s">
        <v>621</v>
      </c>
      <c r="Q55" s="726" t="s">
        <v>621</v>
      </c>
      <c r="R55" s="992">
        <v>0.8</v>
      </c>
      <c r="S55" s="724">
        <f t="shared" si="9"/>
        <v>0.8</v>
      </c>
      <c r="T55" s="724">
        <f>'7'!J59</f>
        <v>0</v>
      </c>
      <c r="U55" s="724">
        <f t="shared" si="10"/>
        <v>0</v>
      </c>
      <c r="Y55" s="487"/>
    </row>
    <row r="56" spans="1:25" s="355" customFormat="1" ht="60.75" x14ac:dyDescent="0.3">
      <c r="A56" s="343" t="s">
        <v>891</v>
      </c>
      <c r="B56" s="344" t="s">
        <v>872</v>
      </c>
      <c r="C56" s="146" t="str">
        <f t="shared" si="3"/>
        <v>J_2021_1.2.4.2.7</v>
      </c>
      <c r="D56" s="725">
        <f>'2 (цены с НДС)'!U59</f>
        <v>0</v>
      </c>
      <c r="E56" s="344" t="s">
        <v>838</v>
      </c>
      <c r="F56" s="725">
        <f t="shared" si="7"/>
        <v>0</v>
      </c>
      <c r="G56" s="724" t="s">
        <v>621</v>
      </c>
      <c r="H56" s="724" t="s">
        <v>621</v>
      </c>
      <c r="I56" s="725">
        <f>'2 (цены с НДС)'!CJ59</f>
        <v>0</v>
      </c>
      <c r="J56" s="725">
        <f>'2 (цены с НДС)'!S59</f>
        <v>0</v>
      </c>
      <c r="K56" s="725">
        <f t="shared" si="8"/>
        <v>0</v>
      </c>
      <c r="L56" s="724">
        <v>2022</v>
      </c>
      <c r="M56" s="671">
        <f>'3 (цены без НДС)'!P59</f>
        <v>0</v>
      </c>
      <c r="N56" s="344" t="s">
        <v>833</v>
      </c>
      <c r="O56" s="724" t="s">
        <v>621</v>
      </c>
      <c r="P56" s="726" t="s">
        <v>621</v>
      </c>
      <c r="Q56" s="726" t="s">
        <v>621</v>
      </c>
      <c r="R56" s="992">
        <v>1.26</v>
      </c>
      <c r="S56" s="724">
        <f t="shared" si="9"/>
        <v>1.26</v>
      </c>
      <c r="T56" s="724">
        <f>'7'!J60</f>
        <v>0</v>
      </c>
      <c r="U56" s="724">
        <f t="shared" si="10"/>
        <v>0</v>
      </c>
      <c r="Y56" s="487"/>
    </row>
    <row r="57" spans="1:25" s="355" customFormat="1" ht="60.75" x14ac:dyDescent="0.3">
      <c r="A57" s="343" t="s">
        <v>892</v>
      </c>
      <c r="B57" s="344" t="s">
        <v>873</v>
      </c>
      <c r="C57" s="146" t="str">
        <f t="shared" si="3"/>
        <v>J_2021_1.2.4.2.8</v>
      </c>
      <c r="D57" s="725">
        <f>'2 (цены с НДС)'!U60</f>
        <v>29.2</v>
      </c>
      <c r="E57" s="344" t="s">
        <v>838</v>
      </c>
      <c r="F57" s="725">
        <f t="shared" si="7"/>
        <v>29.2</v>
      </c>
      <c r="G57" s="724" t="s">
        <v>621</v>
      </c>
      <c r="H57" s="724" t="s">
        <v>621</v>
      </c>
      <c r="I57" s="725">
        <f>'2 (цены с НДС)'!CJ60</f>
        <v>0</v>
      </c>
      <c r="J57" s="725">
        <f>'2 (цены с НДС)'!S60</f>
        <v>29.2</v>
      </c>
      <c r="K57" s="725">
        <f t="shared" si="8"/>
        <v>24.33</v>
      </c>
      <c r="L57" s="724">
        <v>2022</v>
      </c>
      <c r="M57" s="671">
        <f>'3 (цены без НДС)'!P60</f>
        <v>24.33</v>
      </c>
      <c r="N57" s="344" t="s">
        <v>833</v>
      </c>
      <c r="O57" s="724" t="s">
        <v>621</v>
      </c>
      <c r="P57" s="726" t="s">
        <v>621</v>
      </c>
      <c r="Q57" s="726" t="s">
        <v>621</v>
      </c>
      <c r="R57" s="992">
        <v>0</v>
      </c>
      <c r="S57" s="724">
        <f t="shared" si="9"/>
        <v>0</v>
      </c>
      <c r="T57" s="724">
        <v>31</v>
      </c>
      <c r="U57" s="724">
        <v>31</v>
      </c>
      <c r="Y57" s="487"/>
    </row>
    <row r="58" spans="1:25" s="355" customFormat="1" ht="60.75" x14ac:dyDescent="0.3">
      <c r="A58" s="343" t="s">
        <v>893</v>
      </c>
      <c r="B58" s="344" t="s">
        <v>877</v>
      </c>
      <c r="C58" s="146" t="str">
        <f t="shared" si="3"/>
        <v>J_2021_1.2.4.2.9</v>
      </c>
      <c r="D58" s="725">
        <f>'2 (цены с НДС)'!U61</f>
        <v>1.62</v>
      </c>
      <c r="E58" s="344" t="s">
        <v>838</v>
      </c>
      <c r="F58" s="725">
        <f t="shared" si="7"/>
        <v>1.62</v>
      </c>
      <c r="G58" s="724" t="s">
        <v>621</v>
      </c>
      <c r="H58" s="724" t="s">
        <v>621</v>
      </c>
      <c r="I58" s="725">
        <f>'2 (цены с НДС)'!CJ61</f>
        <v>0</v>
      </c>
      <c r="J58" s="725">
        <f>'2 (цены с НДС)'!S61</f>
        <v>1.62</v>
      </c>
      <c r="K58" s="725">
        <f t="shared" si="8"/>
        <v>1.35</v>
      </c>
      <c r="L58" s="724">
        <v>2023</v>
      </c>
      <c r="M58" s="671">
        <f>'3 (цены без НДС)'!P61</f>
        <v>1.35</v>
      </c>
      <c r="N58" s="344" t="s">
        <v>833</v>
      </c>
      <c r="O58" s="724" t="s">
        <v>621</v>
      </c>
      <c r="P58" s="726" t="s">
        <v>621</v>
      </c>
      <c r="Q58" s="726" t="s">
        <v>621</v>
      </c>
      <c r="R58" s="992">
        <v>1.26</v>
      </c>
      <c r="S58" s="724">
        <f t="shared" si="9"/>
        <v>1.26</v>
      </c>
      <c r="T58" s="724">
        <f>'7'!J62</f>
        <v>0</v>
      </c>
      <c r="U58" s="724">
        <f t="shared" si="10"/>
        <v>0</v>
      </c>
      <c r="Y58" s="487"/>
    </row>
    <row r="59" spans="1:25" s="355" customFormat="1" ht="60.75" x14ac:dyDescent="0.3">
      <c r="A59" s="343" t="s">
        <v>894</v>
      </c>
      <c r="B59" s="344" t="s">
        <v>878</v>
      </c>
      <c r="C59" s="146" t="str">
        <f t="shared" si="3"/>
        <v>J_2021_1.2.4.2.10</v>
      </c>
      <c r="D59" s="725">
        <f>'2 (цены с НДС)'!U62</f>
        <v>1.48</v>
      </c>
      <c r="E59" s="344" t="s">
        <v>838</v>
      </c>
      <c r="F59" s="725">
        <f t="shared" si="7"/>
        <v>1.48</v>
      </c>
      <c r="G59" s="724" t="s">
        <v>621</v>
      </c>
      <c r="H59" s="724" t="s">
        <v>621</v>
      </c>
      <c r="I59" s="725">
        <f>'2 (цены с НДС)'!CJ62</f>
        <v>0</v>
      </c>
      <c r="J59" s="725">
        <f>'2 (цены с НДС)'!S62</f>
        <v>1.48</v>
      </c>
      <c r="K59" s="725">
        <f t="shared" si="8"/>
        <v>1.23</v>
      </c>
      <c r="L59" s="724">
        <v>2023</v>
      </c>
      <c r="M59" s="671">
        <f>'3 (цены без НДС)'!P62</f>
        <v>1.23</v>
      </c>
      <c r="N59" s="344" t="s">
        <v>833</v>
      </c>
      <c r="O59" s="724" t="s">
        <v>621</v>
      </c>
      <c r="P59" s="726" t="s">
        <v>621</v>
      </c>
      <c r="Q59" s="726" t="s">
        <v>621</v>
      </c>
      <c r="R59" s="992">
        <v>1.03</v>
      </c>
      <c r="S59" s="724">
        <f t="shared" si="9"/>
        <v>1.03</v>
      </c>
      <c r="T59" s="724">
        <f>'7'!J63</f>
        <v>0</v>
      </c>
      <c r="U59" s="724">
        <f t="shared" si="10"/>
        <v>0</v>
      </c>
      <c r="Y59" s="487"/>
    </row>
    <row r="60" spans="1:25" s="355" customFormat="1" ht="60.75" x14ac:dyDescent="0.3">
      <c r="A60" s="343" t="s">
        <v>895</v>
      </c>
      <c r="B60" s="344" t="s">
        <v>879</v>
      </c>
      <c r="C60" s="146" t="str">
        <f t="shared" si="3"/>
        <v>J_2021_1.2.4.2.11</v>
      </c>
      <c r="D60" s="725">
        <f>'2 (цены с НДС)'!U63</f>
        <v>0.95</v>
      </c>
      <c r="E60" s="344" t="s">
        <v>838</v>
      </c>
      <c r="F60" s="725">
        <f t="shared" si="7"/>
        <v>0.95</v>
      </c>
      <c r="G60" s="724" t="s">
        <v>621</v>
      </c>
      <c r="H60" s="724" t="s">
        <v>621</v>
      </c>
      <c r="I60" s="725">
        <f>'2 (цены с НДС)'!CJ63</f>
        <v>0</v>
      </c>
      <c r="J60" s="725">
        <f>'2 (цены с НДС)'!S63</f>
        <v>0.95</v>
      </c>
      <c r="K60" s="725">
        <f t="shared" si="8"/>
        <v>0.79</v>
      </c>
      <c r="L60" s="724">
        <v>2023</v>
      </c>
      <c r="M60" s="671">
        <f>'3 (цены без НДС)'!P63</f>
        <v>0.79</v>
      </c>
      <c r="N60" s="344" t="s">
        <v>833</v>
      </c>
      <c r="O60" s="724" t="s">
        <v>621</v>
      </c>
      <c r="P60" s="726" t="s">
        <v>621</v>
      </c>
      <c r="Q60" s="726" t="s">
        <v>621</v>
      </c>
      <c r="R60" s="992">
        <v>0.63</v>
      </c>
      <c r="S60" s="724">
        <f t="shared" si="9"/>
        <v>0.63</v>
      </c>
      <c r="T60" s="724">
        <f>'7'!J64</f>
        <v>0</v>
      </c>
      <c r="U60" s="724">
        <f t="shared" si="10"/>
        <v>0</v>
      </c>
      <c r="Y60" s="487"/>
    </row>
    <row r="61" spans="1:25" s="355" customFormat="1" ht="60.75" x14ac:dyDescent="0.3">
      <c r="A61" s="343" t="s">
        <v>896</v>
      </c>
      <c r="B61" s="344" t="s">
        <v>880</v>
      </c>
      <c r="C61" s="146" t="str">
        <f t="shared" si="3"/>
        <v>J_2021_1.2.4.2.12</v>
      </c>
      <c r="D61" s="725">
        <f>'2 (цены с НДС)'!U64</f>
        <v>0.95</v>
      </c>
      <c r="E61" s="344" t="s">
        <v>838</v>
      </c>
      <c r="F61" s="725">
        <f t="shared" si="7"/>
        <v>0.95</v>
      </c>
      <c r="G61" s="724" t="s">
        <v>621</v>
      </c>
      <c r="H61" s="724" t="s">
        <v>621</v>
      </c>
      <c r="I61" s="725">
        <f>'2 (цены с НДС)'!CJ64</f>
        <v>0</v>
      </c>
      <c r="J61" s="725">
        <f>'2 (цены с НДС)'!S64</f>
        <v>0.95</v>
      </c>
      <c r="K61" s="725">
        <f t="shared" si="8"/>
        <v>0.79</v>
      </c>
      <c r="L61" s="724">
        <v>2023</v>
      </c>
      <c r="M61" s="671">
        <f>'3 (цены без НДС)'!P64</f>
        <v>0.79</v>
      </c>
      <c r="N61" s="344" t="s">
        <v>833</v>
      </c>
      <c r="O61" s="724" t="s">
        <v>621</v>
      </c>
      <c r="P61" s="726" t="s">
        <v>621</v>
      </c>
      <c r="Q61" s="726" t="s">
        <v>621</v>
      </c>
      <c r="R61" s="992">
        <v>0.63</v>
      </c>
      <c r="S61" s="724">
        <f t="shared" si="9"/>
        <v>0.63</v>
      </c>
      <c r="T61" s="724">
        <f>'7'!J65</f>
        <v>0</v>
      </c>
      <c r="U61" s="724">
        <f t="shared" si="10"/>
        <v>0</v>
      </c>
      <c r="Y61" s="487"/>
    </row>
    <row r="62" spans="1:25" s="355" customFormat="1" ht="60.75" x14ac:dyDescent="0.3">
      <c r="A62" s="343" t="s">
        <v>897</v>
      </c>
      <c r="B62" s="344" t="s">
        <v>881</v>
      </c>
      <c r="C62" s="146" t="str">
        <f t="shared" si="3"/>
        <v>J_2021_1.2.4.2.13</v>
      </c>
      <c r="D62" s="725">
        <f>'2 (цены с НДС)'!U65</f>
        <v>1.37</v>
      </c>
      <c r="E62" s="344" t="s">
        <v>838</v>
      </c>
      <c r="F62" s="725">
        <f t="shared" si="7"/>
        <v>1.37</v>
      </c>
      <c r="G62" s="724" t="s">
        <v>621</v>
      </c>
      <c r="H62" s="724" t="s">
        <v>621</v>
      </c>
      <c r="I62" s="725">
        <f>'2 (цены с НДС)'!CJ65</f>
        <v>0</v>
      </c>
      <c r="J62" s="725">
        <f>'2 (цены с НДС)'!S65</f>
        <v>1.37</v>
      </c>
      <c r="K62" s="725">
        <f t="shared" si="8"/>
        <v>1.1399999999999999</v>
      </c>
      <c r="L62" s="724">
        <v>2023</v>
      </c>
      <c r="M62" s="671">
        <f>'3 (цены без НДС)'!P65</f>
        <v>1.1399999999999999</v>
      </c>
      <c r="N62" s="344" t="s">
        <v>833</v>
      </c>
      <c r="O62" s="724" t="s">
        <v>621</v>
      </c>
      <c r="P62" s="726" t="s">
        <v>621</v>
      </c>
      <c r="Q62" s="726" t="s">
        <v>621</v>
      </c>
      <c r="R62" s="992">
        <v>0.8</v>
      </c>
      <c r="S62" s="724">
        <f t="shared" si="9"/>
        <v>0.8</v>
      </c>
      <c r="T62" s="724">
        <f>'7'!J66</f>
        <v>0</v>
      </c>
      <c r="U62" s="724">
        <f t="shared" si="10"/>
        <v>0</v>
      </c>
      <c r="Y62" s="487"/>
    </row>
    <row r="63" spans="1:25" s="355" customFormat="1" ht="60.75" x14ac:dyDescent="0.3">
      <c r="A63" s="343" t="s">
        <v>898</v>
      </c>
      <c r="B63" s="344" t="s">
        <v>882</v>
      </c>
      <c r="C63" s="146" t="str">
        <f t="shared" si="3"/>
        <v>J_2021_1.2.4.2.14</v>
      </c>
      <c r="D63" s="725">
        <f>'2 (цены с НДС)'!U66</f>
        <v>1.62</v>
      </c>
      <c r="E63" s="344" t="s">
        <v>838</v>
      </c>
      <c r="F63" s="725">
        <f t="shared" si="7"/>
        <v>1.62</v>
      </c>
      <c r="G63" s="724" t="s">
        <v>621</v>
      </c>
      <c r="H63" s="724" t="s">
        <v>621</v>
      </c>
      <c r="I63" s="725">
        <f>'2 (цены с НДС)'!CJ66</f>
        <v>0</v>
      </c>
      <c r="J63" s="725">
        <f>'2 (цены с НДС)'!S66</f>
        <v>1.62</v>
      </c>
      <c r="K63" s="725">
        <f t="shared" si="8"/>
        <v>1.35</v>
      </c>
      <c r="L63" s="724">
        <v>2023</v>
      </c>
      <c r="M63" s="671">
        <f>'3 (цены без НДС)'!P66</f>
        <v>1.35</v>
      </c>
      <c r="N63" s="344" t="s">
        <v>833</v>
      </c>
      <c r="O63" s="724" t="s">
        <v>621</v>
      </c>
      <c r="P63" s="726" t="s">
        <v>621</v>
      </c>
      <c r="Q63" s="726" t="s">
        <v>621</v>
      </c>
      <c r="R63" s="992">
        <v>1.26</v>
      </c>
      <c r="S63" s="724">
        <f t="shared" si="9"/>
        <v>1.26</v>
      </c>
      <c r="T63" s="724">
        <f>'7'!J67</f>
        <v>0</v>
      </c>
      <c r="U63" s="724">
        <f t="shared" si="10"/>
        <v>0</v>
      </c>
      <c r="Y63" s="487"/>
    </row>
    <row r="64" spans="1:25" s="355" customFormat="1" ht="60.75" x14ac:dyDescent="0.3">
      <c r="A64" s="343" t="s">
        <v>899</v>
      </c>
      <c r="B64" s="344" t="s">
        <v>883</v>
      </c>
      <c r="C64" s="146" t="str">
        <f t="shared" si="3"/>
        <v>J_2021_1.2.4.2.15</v>
      </c>
      <c r="D64" s="725">
        <f>'2 (цены с НДС)'!U67</f>
        <v>1.62</v>
      </c>
      <c r="E64" s="344" t="s">
        <v>838</v>
      </c>
      <c r="F64" s="725">
        <f t="shared" si="7"/>
        <v>1.62</v>
      </c>
      <c r="G64" s="724" t="s">
        <v>621</v>
      </c>
      <c r="H64" s="724" t="s">
        <v>621</v>
      </c>
      <c r="I64" s="725">
        <f>'2 (цены с НДС)'!CJ67</f>
        <v>0</v>
      </c>
      <c r="J64" s="725">
        <f>'2 (цены с НДС)'!S67</f>
        <v>1.62</v>
      </c>
      <c r="K64" s="725">
        <f t="shared" si="8"/>
        <v>1.35</v>
      </c>
      <c r="L64" s="724">
        <v>2023</v>
      </c>
      <c r="M64" s="671">
        <f>'3 (цены без НДС)'!P67</f>
        <v>1.35</v>
      </c>
      <c r="N64" s="344" t="s">
        <v>833</v>
      </c>
      <c r="O64" s="724" t="s">
        <v>621</v>
      </c>
      <c r="P64" s="726" t="s">
        <v>621</v>
      </c>
      <c r="Q64" s="726" t="s">
        <v>621</v>
      </c>
      <c r="R64" s="992">
        <v>1.26</v>
      </c>
      <c r="S64" s="724">
        <f t="shared" si="9"/>
        <v>1.26</v>
      </c>
      <c r="T64" s="724">
        <f>'7'!J68</f>
        <v>0</v>
      </c>
      <c r="U64" s="724">
        <f t="shared" si="10"/>
        <v>0</v>
      </c>
      <c r="Y64" s="487"/>
    </row>
    <row r="65" spans="1:25" s="355" customFormat="1" ht="60.75" x14ac:dyDescent="0.3">
      <c r="A65" s="343" t="s">
        <v>900</v>
      </c>
      <c r="B65" s="344" t="s">
        <v>902</v>
      </c>
      <c r="C65" s="146" t="str">
        <f t="shared" si="3"/>
        <v>J_2021_1.2.4.2.16</v>
      </c>
      <c r="D65" s="725">
        <f>'2 (цены с НДС)'!U68</f>
        <v>28.4</v>
      </c>
      <c r="E65" s="344" t="s">
        <v>838</v>
      </c>
      <c r="F65" s="725">
        <f t="shared" si="7"/>
        <v>28.4</v>
      </c>
      <c r="G65" s="724" t="s">
        <v>621</v>
      </c>
      <c r="H65" s="724" t="s">
        <v>621</v>
      </c>
      <c r="I65" s="725">
        <f>'2 (цены с НДС)'!CJ68</f>
        <v>0</v>
      </c>
      <c r="J65" s="725">
        <f>'2 (цены с НДС)'!S68</f>
        <v>28.4</v>
      </c>
      <c r="K65" s="725">
        <f t="shared" si="8"/>
        <v>23.67</v>
      </c>
      <c r="L65" s="724">
        <v>2024</v>
      </c>
      <c r="M65" s="671">
        <f>'3 (цены без НДС)'!P68</f>
        <v>23.67</v>
      </c>
      <c r="N65" s="344" t="s">
        <v>833</v>
      </c>
      <c r="O65" s="724" t="s">
        <v>621</v>
      </c>
      <c r="P65" s="726" t="s">
        <v>621</v>
      </c>
      <c r="Q65" s="726" t="s">
        <v>621</v>
      </c>
      <c r="R65" s="992">
        <v>0</v>
      </c>
      <c r="S65" s="724">
        <f t="shared" si="9"/>
        <v>0</v>
      </c>
      <c r="T65" s="724">
        <f>'7'!J69</f>
        <v>23</v>
      </c>
      <c r="U65" s="724">
        <f t="shared" si="10"/>
        <v>23</v>
      </c>
      <c r="Y65" s="487"/>
    </row>
    <row r="66" spans="1:25" s="355" customFormat="1" ht="70.5" customHeight="1" x14ac:dyDescent="0.3">
      <c r="A66" s="343" t="s">
        <v>919</v>
      </c>
      <c r="B66" s="344" t="s">
        <v>917</v>
      </c>
      <c r="C66" s="146" t="str">
        <f t="shared" si="3"/>
        <v>J_2021_1.2.4.2.17</v>
      </c>
      <c r="D66" s="725">
        <f>'2 (цены с НДС)'!U69</f>
        <v>20.18</v>
      </c>
      <c r="E66" s="344" t="s">
        <v>838</v>
      </c>
      <c r="F66" s="725">
        <f t="shared" si="7"/>
        <v>20.18</v>
      </c>
      <c r="G66" s="724" t="s">
        <v>621</v>
      </c>
      <c r="H66" s="724" t="s">
        <v>621</v>
      </c>
      <c r="I66" s="725">
        <f>'2 (цены с НДС)'!CJ69</f>
        <v>0</v>
      </c>
      <c r="J66" s="725">
        <f>'2 (цены с НДС)'!S69</f>
        <v>20.18</v>
      </c>
      <c r="K66" s="725">
        <f t="shared" si="8"/>
        <v>16.82</v>
      </c>
      <c r="L66" s="724">
        <v>2024</v>
      </c>
      <c r="M66" s="671">
        <f>'3 (цены без НДС)'!P69</f>
        <v>16.82</v>
      </c>
      <c r="N66" s="344" t="s">
        <v>833</v>
      </c>
      <c r="O66" s="724" t="s">
        <v>621</v>
      </c>
      <c r="P66" s="726" t="s">
        <v>621</v>
      </c>
      <c r="Q66" s="726" t="s">
        <v>621</v>
      </c>
      <c r="R66" s="992">
        <v>0</v>
      </c>
      <c r="S66" s="724">
        <f t="shared" si="9"/>
        <v>0</v>
      </c>
      <c r="T66" s="724">
        <f>'7'!J70</f>
        <v>13</v>
      </c>
      <c r="U66" s="724">
        <f>T66</f>
        <v>13</v>
      </c>
      <c r="X66" s="315"/>
      <c r="Y66" s="487"/>
    </row>
    <row r="67" spans="1:25" ht="60.75" hidden="1" x14ac:dyDescent="0.3">
      <c r="A67" s="343" t="s">
        <v>920</v>
      </c>
      <c r="B67" s="158" t="s">
        <v>690</v>
      </c>
      <c r="C67" s="146" t="str">
        <f t="shared" si="3"/>
        <v>J_2021_1.2.4.2.18</v>
      </c>
      <c r="D67" s="732">
        <f ca="1">'2 (цены с НДС)'!U70</f>
        <v>0</v>
      </c>
      <c r="E67" s="344" t="s">
        <v>838</v>
      </c>
      <c r="F67" s="725">
        <f t="shared" ca="1" si="7"/>
        <v>23.67</v>
      </c>
      <c r="G67" s="724" t="s">
        <v>621</v>
      </c>
      <c r="H67" s="724" t="s">
        <v>621</v>
      </c>
      <c r="I67" s="725">
        <f>'2 (цены с НДС)'!CJ70</f>
        <v>0</v>
      </c>
      <c r="J67" s="725">
        <f ca="1">'2 (цены с НДС)'!S70</f>
        <v>9.17</v>
      </c>
      <c r="K67" s="725">
        <f t="shared" ca="1" si="8"/>
        <v>2.83</v>
      </c>
      <c r="L67" s="713">
        <v>2020</v>
      </c>
      <c r="M67" s="732">
        <f>M68</f>
        <v>0</v>
      </c>
      <c r="N67" s="344" t="s">
        <v>833</v>
      </c>
      <c r="O67" s="724" t="s">
        <v>621</v>
      </c>
      <c r="P67" s="726" t="s">
        <v>621</v>
      </c>
      <c r="Q67" s="726" t="s">
        <v>621</v>
      </c>
      <c r="R67" s="992">
        <v>0</v>
      </c>
      <c r="S67" s="713" t="s">
        <v>621</v>
      </c>
      <c r="T67" s="713" t="s">
        <v>621</v>
      </c>
      <c r="U67" s="713">
        <f>U68</f>
        <v>0</v>
      </c>
      <c r="Y67" s="487"/>
    </row>
    <row r="68" spans="1:25" ht="60.75" hidden="1" x14ac:dyDescent="0.3">
      <c r="A68" s="343" t="s">
        <v>921</v>
      </c>
      <c r="B68" s="572"/>
      <c r="C68" s="146" t="str">
        <f t="shared" si="3"/>
        <v>J_2021_1.2.4.2.19</v>
      </c>
      <c r="D68" s="725"/>
      <c r="E68" s="344" t="s">
        <v>838</v>
      </c>
      <c r="F68" s="725">
        <f t="shared" ca="1" si="7"/>
        <v>16.82</v>
      </c>
      <c r="G68" s="724" t="s">
        <v>621</v>
      </c>
      <c r="H68" s="724" t="s">
        <v>621</v>
      </c>
      <c r="I68" s="725">
        <f>'2 (цены с НДС)'!CJ71</f>
        <v>0</v>
      </c>
      <c r="J68" s="725">
        <f ca="1">'2 (цены с НДС)'!S71</f>
        <v>9.17</v>
      </c>
      <c r="K68" s="725">
        <f t="shared" ca="1" si="8"/>
        <v>2.83</v>
      </c>
      <c r="L68" s="724"/>
      <c r="M68" s="671"/>
      <c r="N68" s="344" t="s">
        <v>833</v>
      </c>
      <c r="O68" s="724" t="s">
        <v>621</v>
      </c>
      <c r="P68" s="726" t="s">
        <v>621</v>
      </c>
      <c r="Q68" s="726" t="s">
        <v>621</v>
      </c>
      <c r="R68" s="992">
        <v>1.26</v>
      </c>
      <c r="S68" s="724"/>
      <c r="T68" s="724"/>
      <c r="U68" s="724"/>
    </row>
    <row r="69" spans="1:25" ht="60.75" x14ac:dyDescent="0.3">
      <c r="A69" s="153" t="s">
        <v>920</v>
      </c>
      <c r="B69" s="991" t="s">
        <v>1717</v>
      </c>
      <c r="C69" s="630" t="s">
        <v>1735</v>
      </c>
      <c r="D69" s="725"/>
      <c r="E69" s="344"/>
      <c r="F69" s="725">
        <f>J69</f>
        <v>12.98</v>
      </c>
      <c r="G69" s="724" t="s">
        <v>621</v>
      </c>
      <c r="H69" s="724" t="s">
        <v>621</v>
      </c>
      <c r="I69" s="725">
        <f>'2 (цены с НДС)'!CJ72</f>
        <v>0</v>
      </c>
      <c r="J69" s="725">
        <f>'2 (цены с НДС)'!S72</f>
        <v>12.98</v>
      </c>
      <c r="K69" s="725">
        <f t="shared" si="8"/>
        <v>10.82</v>
      </c>
      <c r="L69" s="724">
        <v>2022</v>
      </c>
      <c r="M69" s="671"/>
      <c r="N69" s="344" t="s">
        <v>833</v>
      </c>
      <c r="O69" s="724" t="s">
        <v>621</v>
      </c>
      <c r="P69" s="726" t="s">
        <v>621</v>
      </c>
      <c r="Q69" s="726" t="s">
        <v>621</v>
      </c>
      <c r="R69" s="724">
        <v>0</v>
      </c>
      <c r="S69" s="724">
        <v>0</v>
      </c>
      <c r="T69" s="724">
        <v>0</v>
      </c>
      <c r="U69" s="724">
        <v>11</v>
      </c>
    </row>
    <row r="70" spans="1:25" ht="60.75" x14ac:dyDescent="0.3">
      <c r="A70" s="153" t="s">
        <v>921</v>
      </c>
      <c r="B70" s="991" t="s">
        <v>1718</v>
      </c>
      <c r="C70" s="630" t="s">
        <v>1731</v>
      </c>
      <c r="D70" s="725">
        <v>14.98</v>
      </c>
      <c r="E70" s="344" t="s">
        <v>838</v>
      </c>
      <c r="F70" s="725">
        <f>J70</f>
        <v>3.4</v>
      </c>
      <c r="G70" s="724" t="s">
        <v>621</v>
      </c>
      <c r="H70" s="724" t="s">
        <v>621</v>
      </c>
      <c r="I70" s="725">
        <f>'2 (цены с НДС)'!CJ73</f>
        <v>0</v>
      </c>
      <c r="J70" s="725">
        <f>'2 (цены с НДС)'!S73</f>
        <v>3.4</v>
      </c>
      <c r="K70" s="725">
        <f>J70/1.2</f>
        <v>2.83</v>
      </c>
      <c r="L70" s="724">
        <v>2022</v>
      </c>
      <c r="M70" s="671">
        <v>12.48</v>
      </c>
      <c r="N70" s="344" t="s">
        <v>833</v>
      </c>
      <c r="O70" s="724" t="s">
        <v>621</v>
      </c>
      <c r="P70" s="726" t="s">
        <v>621</v>
      </c>
      <c r="Q70" s="726" t="s">
        <v>621</v>
      </c>
      <c r="R70" s="724">
        <v>1.26</v>
      </c>
      <c r="S70" s="724">
        <v>1.26</v>
      </c>
      <c r="T70" s="724">
        <v>0</v>
      </c>
      <c r="U70" s="724">
        <v>0</v>
      </c>
    </row>
    <row r="71" spans="1:25" ht="60.75" x14ac:dyDescent="0.3">
      <c r="A71" s="156" t="s">
        <v>741</v>
      </c>
      <c r="B71" s="175" t="s">
        <v>1653</v>
      </c>
      <c r="C71" s="739" t="s">
        <v>621</v>
      </c>
      <c r="D71" s="728">
        <v>16.39</v>
      </c>
      <c r="E71" s="209"/>
      <c r="F71" s="728">
        <v>16.39</v>
      </c>
      <c r="G71" s="728" t="str">
        <f>G70</f>
        <v>нд</v>
      </c>
      <c r="H71" s="728" t="str">
        <f>H70</f>
        <v>нд</v>
      </c>
      <c r="I71" s="728">
        <f>I70</f>
        <v>0</v>
      </c>
      <c r="J71" s="728">
        <v>16.39</v>
      </c>
      <c r="K71" s="728">
        <v>13.66</v>
      </c>
      <c r="L71" s="907">
        <v>2021</v>
      </c>
      <c r="M71" s="728">
        <v>13.66</v>
      </c>
      <c r="N71" s="209"/>
      <c r="O71" s="720" t="s">
        <v>621</v>
      </c>
      <c r="P71" s="720" t="s">
        <v>621</v>
      </c>
      <c r="Q71" s="720" t="s">
        <v>621</v>
      </c>
      <c r="R71" s="720" t="s">
        <v>621</v>
      </c>
      <c r="S71" s="720" t="s">
        <v>621</v>
      </c>
      <c r="T71" s="720" t="s">
        <v>621</v>
      </c>
      <c r="U71" s="720">
        <v>6</v>
      </c>
    </row>
    <row r="72" spans="1:25" ht="101.25" x14ac:dyDescent="0.3">
      <c r="A72" s="153" t="s">
        <v>741</v>
      </c>
      <c r="B72" s="670" t="s">
        <v>1654</v>
      </c>
      <c r="C72" s="146" t="str">
        <f>CONCATENATE("J","_",2021,"_",A72)</f>
        <v>J_2021_1.6</v>
      </c>
      <c r="D72" s="725">
        <v>16.39</v>
      </c>
      <c r="E72" s="344" t="s">
        <v>954</v>
      </c>
      <c r="F72" s="725">
        <v>16.39</v>
      </c>
      <c r="G72" s="725" t="s">
        <v>621</v>
      </c>
      <c r="H72" s="725" t="s">
        <v>621</v>
      </c>
      <c r="I72" s="725">
        <v>0</v>
      </c>
      <c r="J72" s="725">
        <v>16.39</v>
      </c>
      <c r="K72" s="725">
        <v>13.66</v>
      </c>
      <c r="L72" s="724">
        <v>2021</v>
      </c>
      <c r="M72" s="671">
        <v>13.66</v>
      </c>
      <c r="N72" s="641" t="s">
        <v>1658</v>
      </c>
      <c r="O72" s="724" t="s">
        <v>621</v>
      </c>
      <c r="P72" s="724" t="s">
        <v>621</v>
      </c>
      <c r="Q72" s="724" t="s">
        <v>621</v>
      </c>
      <c r="R72" s="724" t="s">
        <v>621</v>
      </c>
      <c r="S72" s="724" t="s">
        <v>621</v>
      </c>
      <c r="T72" s="724" t="s">
        <v>621</v>
      </c>
      <c r="U72" s="724">
        <v>6</v>
      </c>
    </row>
    <row r="73" spans="1:25" x14ac:dyDescent="0.3">
      <c r="A73" s="733"/>
      <c r="B73" s="684"/>
      <c r="C73" s="734"/>
      <c r="D73" s="735"/>
      <c r="E73" s="736"/>
      <c r="F73" s="735"/>
      <c r="G73" s="735"/>
      <c r="H73" s="735"/>
      <c r="I73" s="735"/>
      <c r="J73" s="735"/>
      <c r="K73" s="735"/>
      <c r="L73" s="734"/>
      <c r="M73" s="737"/>
      <c r="N73" s="738"/>
      <c r="O73" s="734"/>
      <c r="P73" s="734"/>
      <c r="Q73" s="734"/>
      <c r="R73" s="734"/>
      <c r="S73" s="734"/>
      <c r="T73" s="734"/>
      <c r="U73" s="734"/>
    </row>
    <row r="74" spans="1:25" x14ac:dyDescent="0.3">
      <c r="I74" s="315"/>
    </row>
    <row r="75" spans="1:25" x14ac:dyDescent="0.3">
      <c r="A75" s="1249" t="s">
        <v>1743</v>
      </c>
      <c r="B75" s="1249"/>
      <c r="C75" s="648"/>
      <c r="D75" s="648"/>
      <c r="E75" s="648"/>
      <c r="F75" s="648"/>
      <c r="G75" s="648"/>
      <c r="I75" s="648"/>
      <c r="Q75" s="648" t="s">
        <v>1652</v>
      </c>
    </row>
  </sheetData>
  <mergeCells count="20">
    <mergeCell ref="A6:S6"/>
    <mergeCell ref="A7:S7"/>
    <mergeCell ref="A4:S4"/>
    <mergeCell ref="A9:S9"/>
    <mergeCell ref="O11:O13"/>
    <mergeCell ref="A10:R10"/>
    <mergeCell ref="A11:A13"/>
    <mergeCell ref="B11:B13"/>
    <mergeCell ref="C11:C13"/>
    <mergeCell ref="D11:D13"/>
    <mergeCell ref="N11:N13"/>
    <mergeCell ref="F11:J12"/>
    <mergeCell ref="L11:M12"/>
    <mergeCell ref="K11:K13"/>
    <mergeCell ref="E11:E13"/>
    <mergeCell ref="A75:B75"/>
    <mergeCell ref="T12:U12"/>
    <mergeCell ref="P11:U11"/>
    <mergeCell ref="P12:Q12"/>
    <mergeCell ref="R12:S12"/>
  </mergeCells>
  <printOptions horizontalCentered="1"/>
  <pageMargins left="0.70866141732283472" right="0.11811023622047245" top="0.35433070866141736" bottom="0" header="0.31496062992125984" footer="0.31496062992125984"/>
  <pageSetup paperSize="9" scale="2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view="pageBreakPreview" zoomScale="60" zoomScaleNormal="50" workbookViewId="0">
      <selection activeCell="A6" sqref="A6:L6"/>
    </sheetView>
  </sheetViews>
  <sheetFormatPr defaultRowHeight="15" x14ac:dyDescent="0.25"/>
  <cols>
    <col min="1" max="1" width="12" style="64" customWidth="1"/>
    <col min="2" max="2" width="33" style="6" customWidth="1"/>
    <col min="3" max="3" width="15.5" style="6" customWidth="1"/>
    <col min="4" max="4" width="22.375" style="6" customWidth="1"/>
    <col min="5" max="5" width="27.125" style="6" customWidth="1"/>
    <col min="6" max="6" width="42.125" style="6" customWidth="1"/>
    <col min="7" max="7" width="17.875" style="6" customWidth="1"/>
    <col min="8" max="8" width="17.375" style="6" customWidth="1"/>
    <col min="9" max="9" width="14" style="6" customWidth="1"/>
    <col min="10" max="10" width="12.75" style="6" customWidth="1"/>
    <col min="11" max="12" width="17.375" style="6" customWidth="1"/>
    <col min="13" max="14" width="18.5" style="6" customWidth="1"/>
    <col min="15" max="15" width="10.5" style="6" customWidth="1"/>
    <col min="16" max="16" width="11.5" style="6" customWidth="1"/>
    <col min="17" max="17" width="22" style="6" customWidth="1"/>
    <col min="18" max="18" width="22.625" style="6" customWidth="1"/>
    <col min="19" max="19" width="12.875" style="64" customWidth="1"/>
    <col min="20" max="20" width="15.625" style="64" customWidth="1"/>
    <col min="21" max="21" width="16.75" style="64" customWidth="1"/>
    <col min="22" max="22" width="19.25" style="64" customWidth="1"/>
    <col min="23" max="23" width="19.875" style="64" customWidth="1"/>
    <col min="24" max="24" width="22.375" style="64" customWidth="1"/>
    <col min="25" max="25" width="46" style="64" customWidth="1"/>
    <col min="26" max="245" width="9" style="64"/>
    <col min="246" max="246" width="3.875" style="64" bestFit="1" customWidth="1"/>
    <col min="247" max="247" width="16" style="64" bestFit="1" customWidth="1"/>
    <col min="248" max="248" width="16.625" style="64" bestFit="1" customWidth="1"/>
    <col min="249" max="249" width="13.5" style="64" bestFit="1" customWidth="1"/>
    <col min="250" max="251" width="10.875" style="64" bestFit="1" customWidth="1"/>
    <col min="252" max="252" width="6.25" style="64" bestFit="1" customWidth="1"/>
    <col min="253" max="253" width="8.875" style="64" bestFit="1" customWidth="1"/>
    <col min="254" max="254" width="13.875" style="64" bestFit="1" customWidth="1"/>
    <col min="255" max="255" width="13.25" style="64" bestFit="1" customWidth="1"/>
    <col min="256" max="256" width="16" style="64" bestFit="1" customWidth="1"/>
    <col min="257" max="257" width="11.625" style="64" bestFit="1" customWidth="1"/>
    <col min="258" max="258" width="16.875" style="64" customWidth="1"/>
    <col min="259" max="259" width="13.25" style="64" customWidth="1"/>
    <col min="260" max="260" width="18.375" style="64" bestFit="1" customWidth="1"/>
    <col min="261" max="261" width="15" style="64" bestFit="1" customWidth="1"/>
    <col min="262" max="262" width="14.75" style="64" bestFit="1" customWidth="1"/>
    <col min="263" max="263" width="14.625" style="64" bestFit="1" customWidth="1"/>
    <col min="264" max="264" width="13.75" style="64" bestFit="1" customWidth="1"/>
    <col min="265" max="265" width="14.25" style="64" bestFit="1" customWidth="1"/>
    <col min="266" max="266" width="15.125" style="64" customWidth="1"/>
    <col min="267" max="267" width="20.5" style="64" bestFit="1" customWidth="1"/>
    <col min="268" max="268" width="27.875" style="64" bestFit="1" customWidth="1"/>
    <col min="269" max="269" width="6.875" style="64" bestFit="1" customWidth="1"/>
    <col min="270" max="270" width="5" style="64" bestFit="1" customWidth="1"/>
    <col min="271" max="271" width="8" style="64" bestFit="1" customWidth="1"/>
    <col min="272" max="272" width="11.875" style="64" bestFit="1" customWidth="1"/>
    <col min="273" max="501" width="9" style="64"/>
    <col min="502" max="502" width="3.875" style="64" bestFit="1" customWidth="1"/>
    <col min="503" max="503" width="16" style="64" bestFit="1" customWidth="1"/>
    <col min="504" max="504" width="16.625" style="64" bestFit="1" customWidth="1"/>
    <col min="505" max="505" width="13.5" style="64" bestFit="1" customWidth="1"/>
    <col min="506" max="507" width="10.875" style="64" bestFit="1" customWidth="1"/>
    <col min="508" max="508" width="6.25" style="64" bestFit="1" customWidth="1"/>
    <col min="509" max="509" width="8.875" style="64" bestFit="1" customWidth="1"/>
    <col min="510" max="510" width="13.875" style="64" bestFit="1" customWidth="1"/>
    <col min="511" max="511" width="13.25" style="64" bestFit="1" customWidth="1"/>
    <col min="512" max="512" width="16" style="64" bestFit="1" customWidth="1"/>
    <col min="513" max="513" width="11.625" style="64" bestFit="1" customWidth="1"/>
    <col min="514" max="514" width="16.875" style="64" customWidth="1"/>
    <col min="515" max="515" width="13.25" style="64" customWidth="1"/>
    <col min="516" max="516" width="18.375" style="64" bestFit="1" customWidth="1"/>
    <col min="517" max="517" width="15" style="64" bestFit="1" customWidth="1"/>
    <col min="518" max="518" width="14.75" style="64" bestFit="1" customWidth="1"/>
    <col min="519" max="519" width="14.625" style="64" bestFit="1" customWidth="1"/>
    <col min="520" max="520" width="13.75" style="64" bestFit="1" customWidth="1"/>
    <col min="521" max="521" width="14.25" style="64" bestFit="1" customWidth="1"/>
    <col min="522" max="522" width="15.125" style="64" customWidth="1"/>
    <col min="523" max="523" width="20.5" style="64" bestFit="1" customWidth="1"/>
    <col min="524" max="524" width="27.875" style="64" bestFit="1" customWidth="1"/>
    <col min="525" max="525" width="6.875" style="64" bestFit="1" customWidth="1"/>
    <col min="526" max="526" width="5" style="64" bestFit="1" customWidth="1"/>
    <col min="527" max="527" width="8" style="64" bestFit="1" customWidth="1"/>
    <col min="528" max="528" width="11.875" style="64" bestFit="1" customWidth="1"/>
    <col min="529" max="757" width="9" style="64"/>
    <col min="758" max="758" width="3.875" style="64" bestFit="1" customWidth="1"/>
    <col min="759" max="759" width="16" style="64" bestFit="1" customWidth="1"/>
    <col min="760" max="760" width="16.625" style="64" bestFit="1" customWidth="1"/>
    <col min="761" max="761" width="13.5" style="64" bestFit="1" customWidth="1"/>
    <col min="762" max="763" width="10.875" style="64" bestFit="1" customWidth="1"/>
    <col min="764" max="764" width="6.25" style="64" bestFit="1" customWidth="1"/>
    <col min="765" max="765" width="8.875" style="64" bestFit="1" customWidth="1"/>
    <col min="766" max="766" width="13.875" style="64" bestFit="1" customWidth="1"/>
    <col min="767" max="767" width="13.25" style="64" bestFit="1" customWidth="1"/>
    <col min="768" max="768" width="16" style="64" bestFit="1" customWidth="1"/>
    <col min="769" max="769" width="11.625" style="64" bestFit="1" customWidth="1"/>
    <col min="770" max="770" width="16.875" style="64" customWidth="1"/>
    <col min="771" max="771" width="13.25" style="64" customWidth="1"/>
    <col min="772" max="772" width="18.375" style="64" bestFit="1" customWidth="1"/>
    <col min="773" max="773" width="15" style="64" bestFit="1" customWidth="1"/>
    <col min="774" max="774" width="14.75" style="64" bestFit="1" customWidth="1"/>
    <col min="775" max="775" width="14.625" style="64" bestFit="1" customWidth="1"/>
    <col min="776" max="776" width="13.75" style="64" bestFit="1" customWidth="1"/>
    <col min="777" max="777" width="14.25" style="64" bestFit="1" customWidth="1"/>
    <col min="778" max="778" width="15.125" style="64" customWidth="1"/>
    <col min="779" max="779" width="20.5" style="64" bestFit="1" customWidth="1"/>
    <col min="780" max="780" width="27.875" style="64" bestFit="1" customWidth="1"/>
    <col min="781" max="781" width="6.875" style="64" bestFit="1" customWidth="1"/>
    <col min="782" max="782" width="5" style="64" bestFit="1" customWidth="1"/>
    <col min="783" max="783" width="8" style="64" bestFit="1" customWidth="1"/>
    <col min="784" max="784" width="11.875" style="64" bestFit="1" customWidth="1"/>
    <col min="785" max="1013" width="9" style="64"/>
    <col min="1014" max="1014" width="3.875" style="64" bestFit="1" customWidth="1"/>
    <col min="1015" max="1015" width="16" style="64" bestFit="1" customWidth="1"/>
    <col min="1016" max="1016" width="16.625" style="64" bestFit="1" customWidth="1"/>
    <col min="1017" max="1017" width="13.5" style="64" bestFit="1" customWidth="1"/>
    <col min="1018" max="1019" width="10.875" style="64" bestFit="1" customWidth="1"/>
    <col min="1020" max="1020" width="6.25" style="64" bestFit="1" customWidth="1"/>
    <col min="1021" max="1021" width="8.875" style="64" bestFit="1" customWidth="1"/>
    <col min="1022" max="1022" width="13.875" style="64" bestFit="1" customWidth="1"/>
    <col min="1023" max="1023" width="13.25" style="64" bestFit="1" customWidth="1"/>
    <col min="1024" max="1024" width="16" style="64" bestFit="1" customWidth="1"/>
    <col min="1025" max="1025" width="11.625" style="64" bestFit="1" customWidth="1"/>
    <col min="1026" max="1026" width="16.875" style="64" customWidth="1"/>
    <col min="1027" max="1027" width="13.25" style="64" customWidth="1"/>
    <col min="1028" max="1028" width="18.375" style="64" bestFit="1" customWidth="1"/>
    <col min="1029" max="1029" width="15" style="64" bestFit="1" customWidth="1"/>
    <col min="1030" max="1030" width="14.75" style="64" bestFit="1" customWidth="1"/>
    <col min="1031" max="1031" width="14.625" style="64" bestFit="1" customWidth="1"/>
    <col min="1032" max="1032" width="13.75" style="64" bestFit="1" customWidth="1"/>
    <col min="1033" max="1033" width="14.25" style="64" bestFit="1" customWidth="1"/>
    <col min="1034" max="1034" width="15.125" style="64" customWidth="1"/>
    <col min="1035" max="1035" width="20.5" style="64" bestFit="1" customWidth="1"/>
    <col min="1036" max="1036" width="27.875" style="64" bestFit="1" customWidth="1"/>
    <col min="1037" max="1037" width="6.875" style="64" bestFit="1" customWidth="1"/>
    <col min="1038" max="1038" width="5" style="64" bestFit="1" customWidth="1"/>
    <col min="1039" max="1039" width="8" style="64" bestFit="1" customWidth="1"/>
    <col min="1040" max="1040" width="11.875" style="64" bestFit="1" customWidth="1"/>
    <col min="1041" max="1269" width="9" style="64"/>
    <col min="1270" max="1270" width="3.875" style="64" bestFit="1" customWidth="1"/>
    <col min="1271" max="1271" width="16" style="64" bestFit="1" customWidth="1"/>
    <col min="1272" max="1272" width="16.625" style="64" bestFit="1" customWidth="1"/>
    <col min="1273" max="1273" width="13.5" style="64" bestFit="1" customWidth="1"/>
    <col min="1274" max="1275" width="10.875" style="64" bestFit="1" customWidth="1"/>
    <col min="1276" max="1276" width="6.25" style="64" bestFit="1" customWidth="1"/>
    <col min="1277" max="1277" width="8.875" style="64" bestFit="1" customWidth="1"/>
    <col min="1278" max="1278" width="13.875" style="64" bestFit="1" customWidth="1"/>
    <col min="1279" max="1279" width="13.25" style="64" bestFit="1" customWidth="1"/>
    <col min="1280" max="1280" width="16" style="64" bestFit="1" customWidth="1"/>
    <col min="1281" max="1281" width="11.625" style="64" bestFit="1" customWidth="1"/>
    <col min="1282" max="1282" width="16.875" style="64" customWidth="1"/>
    <col min="1283" max="1283" width="13.25" style="64" customWidth="1"/>
    <col min="1284" max="1284" width="18.375" style="64" bestFit="1" customWidth="1"/>
    <col min="1285" max="1285" width="15" style="64" bestFit="1" customWidth="1"/>
    <col min="1286" max="1286" width="14.75" style="64" bestFit="1" customWidth="1"/>
    <col min="1287" max="1287" width="14.625" style="64" bestFit="1" customWidth="1"/>
    <col min="1288" max="1288" width="13.75" style="64" bestFit="1" customWidth="1"/>
    <col min="1289" max="1289" width="14.25" style="64" bestFit="1" customWidth="1"/>
    <col min="1290" max="1290" width="15.125" style="64" customWidth="1"/>
    <col min="1291" max="1291" width="20.5" style="64" bestFit="1" customWidth="1"/>
    <col min="1292" max="1292" width="27.875" style="64" bestFit="1" customWidth="1"/>
    <col min="1293" max="1293" width="6.875" style="64" bestFit="1" customWidth="1"/>
    <col min="1294" max="1294" width="5" style="64" bestFit="1" customWidth="1"/>
    <col min="1295" max="1295" width="8" style="64" bestFit="1" customWidth="1"/>
    <col min="1296" max="1296" width="11.875" style="64" bestFit="1" customWidth="1"/>
    <col min="1297" max="1525" width="9" style="64"/>
    <col min="1526" max="1526" width="3.875" style="64" bestFit="1" customWidth="1"/>
    <col min="1527" max="1527" width="16" style="64" bestFit="1" customWidth="1"/>
    <col min="1528" max="1528" width="16.625" style="64" bestFit="1" customWidth="1"/>
    <col min="1529" max="1529" width="13.5" style="64" bestFit="1" customWidth="1"/>
    <col min="1530" max="1531" width="10.875" style="64" bestFit="1" customWidth="1"/>
    <col min="1532" max="1532" width="6.25" style="64" bestFit="1" customWidth="1"/>
    <col min="1533" max="1533" width="8.875" style="64" bestFit="1" customWidth="1"/>
    <col min="1534" max="1534" width="13.875" style="64" bestFit="1" customWidth="1"/>
    <col min="1535" max="1535" width="13.25" style="64" bestFit="1" customWidth="1"/>
    <col min="1536" max="1536" width="16" style="64" bestFit="1" customWidth="1"/>
    <col min="1537" max="1537" width="11.625" style="64" bestFit="1" customWidth="1"/>
    <col min="1538" max="1538" width="16.875" style="64" customWidth="1"/>
    <col min="1539" max="1539" width="13.25" style="64" customWidth="1"/>
    <col min="1540" max="1540" width="18.375" style="64" bestFit="1" customWidth="1"/>
    <col min="1541" max="1541" width="15" style="64" bestFit="1" customWidth="1"/>
    <col min="1542" max="1542" width="14.75" style="64" bestFit="1" customWidth="1"/>
    <col min="1543" max="1543" width="14.625" style="64" bestFit="1" customWidth="1"/>
    <col min="1544" max="1544" width="13.75" style="64" bestFit="1" customWidth="1"/>
    <col min="1545" max="1545" width="14.25" style="64" bestFit="1" customWidth="1"/>
    <col min="1546" max="1546" width="15.125" style="64" customWidth="1"/>
    <col min="1547" max="1547" width="20.5" style="64" bestFit="1" customWidth="1"/>
    <col min="1548" max="1548" width="27.875" style="64" bestFit="1" customWidth="1"/>
    <col min="1549" max="1549" width="6.875" style="64" bestFit="1" customWidth="1"/>
    <col min="1550" max="1550" width="5" style="64" bestFit="1" customWidth="1"/>
    <col min="1551" max="1551" width="8" style="64" bestFit="1" customWidth="1"/>
    <col min="1552" max="1552" width="11.875" style="64" bestFit="1" customWidth="1"/>
    <col min="1553" max="1781" width="9" style="64"/>
    <col min="1782" max="1782" width="3.875" style="64" bestFit="1" customWidth="1"/>
    <col min="1783" max="1783" width="16" style="64" bestFit="1" customWidth="1"/>
    <col min="1784" max="1784" width="16.625" style="64" bestFit="1" customWidth="1"/>
    <col min="1785" max="1785" width="13.5" style="64" bestFit="1" customWidth="1"/>
    <col min="1786" max="1787" width="10.875" style="64" bestFit="1" customWidth="1"/>
    <col min="1788" max="1788" width="6.25" style="64" bestFit="1" customWidth="1"/>
    <col min="1789" max="1789" width="8.875" style="64" bestFit="1" customWidth="1"/>
    <col min="1790" max="1790" width="13.875" style="64" bestFit="1" customWidth="1"/>
    <col min="1791" max="1791" width="13.25" style="64" bestFit="1" customWidth="1"/>
    <col min="1792" max="1792" width="16" style="64" bestFit="1" customWidth="1"/>
    <col min="1793" max="1793" width="11.625" style="64" bestFit="1" customWidth="1"/>
    <col min="1794" max="1794" width="16.875" style="64" customWidth="1"/>
    <col min="1795" max="1795" width="13.25" style="64" customWidth="1"/>
    <col min="1796" max="1796" width="18.375" style="64" bestFit="1" customWidth="1"/>
    <col min="1797" max="1797" width="15" style="64" bestFit="1" customWidth="1"/>
    <col min="1798" max="1798" width="14.75" style="64" bestFit="1" customWidth="1"/>
    <col min="1799" max="1799" width="14.625" style="64" bestFit="1" customWidth="1"/>
    <col min="1800" max="1800" width="13.75" style="64" bestFit="1" customWidth="1"/>
    <col min="1801" max="1801" width="14.25" style="64" bestFit="1" customWidth="1"/>
    <col min="1802" max="1802" width="15.125" style="64" customWidth="1"/>
    <col min="1803" max="1803" width="20.5" style="64" bestFit="1" customWidth="1"/>
    <col min="1804" max="1804" width="27.875" style="64" bestFit="1" customWidth="1"/>
    <col min="1805" max="1805" width="6.875" style="64" bestFit="1" customWidth="1"/>
    <col min="1806" max="1806" width="5" style="64" bestFit="1" customWidth="1"/>
    <col min="1807" max="1807" width="8" style="64" bestFit="1" customWidth="1"/>
    <col min="1808" max="1808" width="11.875" style="64" bestFit="1" customWidth="1"/>
    <col min="1809" max="2037" width="9" style="64"/>
    <col min="2038" max="2038" width="3.875" style="64" bestFit="1" customWidth="1"/>
    <col min="2039" max="2039" width="16" style="64" bestFit="1" customWidth="1"/>
    <col min="2040" max="2040" width="16.625" style="64" bestFit="1" customWidth="1"/>
    <col min="2041" max="2041" width="13.5" style="64" bestFit="1" customWidth="1"/>
    <col min="2042" max="2043" width="10.875" style="64" bestFit="1" customWidth="1"/>
    <col min="2044" max="2044" width="6.25" style="64" bestFit="1" customWidth="1"/>
    <col min="2045" max="2045" width="8.875" style="64" bestFit="1" customWidth="1"/>
    <col min="2046" max="2046" width="13.875" style="64" bestFit="1" customWidth="1"/>
    <col min="2047" max="2047" width="13.25" style="64" bestFit="1" customWidth="1"/>
    <col min="2048" max="2048" width="16" style="64" bestFit="1" customWidth="1"/>
    <col min="2049" max="2049" width="11.625" style="64" bestFit="1" customWidth="1"/>
    <col min="2050" max="2050" width="16.875" style="64" customWidth="1"/>
    <col min="2051" max="2051" width="13.25" style="64" customWidth="1"/>
    <col min="2052" max="2052" width="18.375" style="64" bestFit="1" customWidth="1"/>
    <col min="2053" max="2053" width="15" style="64" bestFit="1" customWidth="1"/>
    <col min="2054" max="2054" width="14.75" style="64" bestFit="1" customWidth="1"/>
    <col min="2055" max="2055" width="14.625" style="64" bestFit="1" customWidth="1"/>
    <col min="2056" max="2056" width="13.75" style="64" bestFit="1" customWidth="1"/>
    <col min="2057" max="2057" width="14.25" style="64" bestFit="1" customWidth="1"/>
    <col min="2058" max="2058" width="15.125" style="64" customWidth="1"/>
    <col min="2059" max="2059" width="20.5" style="64" bestFit="1" customWidth="1"/>
    <col min="2060" max="2060" width="27.875" style="64" bestFit="1" customWidth="1"/>
    <col min="2061" max="2061" width="6.875" style="64" bestFit="1" customWidth="1"/>
    <col min="2062" max="2062" width="5" style="64" bestFit="1" customWidth="1"/>
    <col min="2063" max="2063" width="8" style="64" bestFit="1" customWidth="1"/>
    <col min="2064" max="2064" width="11.875" style="64" bestFit="1" customWidth="1"/>
    <col min="2065" max="2293" width="9" style="64"/>
    <col min="2294" max="2294" width="3.875" style="64" bestFit="1" customWidth="1"/>
    <col min="2295" max="2295" width="16" style="64" bestFit="1" customWidth="1"/>
    <col min="2296" max="2296" width="16.625" style="64" bestFit="1" customWidth="1"/>
    <col min="2297" max="2297" width="13.5" style="64" bestFit="1" customWidth="1"/>
    <col min="2298" max="2299" width="10.875" style="64" bestFit="1" customWidth="1"/>
    <col min="2300" max="2300" width="6.25" style="64" bestFit="1" customWidth="1"/>
    <col min="2301" max="2301" width="8.875" style="64" bestFit="1" customWidth="1"/>
    <col min="2302" max="2302" width="13.875" style="64" bestFit="1" customWidth="1"/>
    <col min="2303" max="2303" width="13.25" style="64" bestFit="1" customWidth="1"/>
    <col min="2304" max="2304" width="16" style="64" bestFit="1" customWidth="1"/>
    <col min="2305" max="2305" width="11.625" style="64" bestFit="1" customWidth="1"/>
    <col min="2306" max="2306" width="16.875" style="64" customWidth="1"/>
    <col min="2307" max="2307" width="13.25" style="64" customWidth="1"/>
    <col min="2308" max="2308" width="18.375" style="64" bestFit="1" customWidth="1"/>
    <col min="2309" max="2309" width="15" style="64" bestFit="1" customWidth="1"/>
    <col min="2310" max="2310" width="14.75" style="64" bestFit="1" customWidth="1"/>
    <col min="2311" max="2311" width="14.625" style="64" bestFit="1" customWidth="1"/>
    <col min="2312" max="2312" width="13.75" style="64" bestFit="1" customWidth="1"/>
    <col min="2313" max="2313" width="14.25" style="64" bestFit="1" customWidth="1"/>
    <col min="2314" max="2314" width="15.125" style="64" customWidth="1"/>
    <col min="2315" max="2315" width="20.5" style="64" bestFit="1" customWidth="1"/>
    <col min="2316" max="2316" width="27.875" style="64" bestFit="1" customWidth="1"/>
    <col min="2317" max="2317" width="6.875" style="64" bestFit="1" customWidth="1"/>
    <col min="2318" max="2318" width="5" style="64" bestFit="1" customWidth="1"/>
    <col min="2319" max="2319" width="8" style="64" bestFit="1" customWidth="1"/>
    <col min="2320" max="2320" width="11.875" style="64" bestFit="1" customWidth="1"/>
    <col min="2321" max="2549" width="9" style="64"/>
    <col min="2550" max="2550" width="3.875" style="64" bestFit="1" customWidth="1"/>
    <col min="2551" max="2551" width="16" style="64" bestFit="1" customWidth="1"/>
    <col min="2552" max="2552" width="16.625" style="64" bestFit="1" customWidth="1"/>
    <col min="2553" max="2553" width="13.5" style="64" bestFit="1" customWidth="1"/>
    <col min="2554" max="2555" width="10.875" style="64" bestFit="1" customWidth="1"/>
    <col min="2556" max="2556" width="6.25" style="64" bestFit="1" customWidth="1"/>
    <col min="2557" max="2557" width="8.875" style="64" bestFit="1" customWidth="1"/>
    <col min="2558" max="2558" width="13.875" style="64" bestFit="1" customWidth="1"/>
    <col min="2559" max="2559" width="13.25" style="64" bestFit="1" customWidth="1"/>
    <col min="2560" max="2560" width="16" style="64" bestFit="1" customWidth="1"/>
    <col min="2561" max="2561" width="11.625" style="64" bestFit="1" customWidth="1"/>
    <col min="2562" max="2562" width="16.875" style="64" customWidth="1"/>
    <col min="2563" max="2563" width="13.25" style="64" customWidth="1"/>
    <col min="2564" max="2564" width="18.375" style="64" bestFit="1" customWidth="1"/>
    <col min="2565" max="2565" width="15" style="64" bestFit="1" customWidth="1"/>
    <col min="2566" max="2566" width="14.75" style="64" bestFit="1" customWidth="1"/>
    <col min="2567" max="2567" width="14.625" style="64" bestFit="1" customWidth="1"/>
    <col min="2568" max="2568" width="13.75" style="64" bestFit="1" customWidth="1"/>
    <col min="2569" max="2569" width="14.25" style="64" bestFit="1" customWidth="1"/>
    <col min="2570" max="2570" width="15.125" style="64" customWidth="1"/>
    <col min="2571" max="2571" width="20.5" style="64" bestFit="1" customWidth="1"/>
    <col min="2572" max="2572" width="27.875" style="64" bestFit="1" customWidth="1"/>
    <col min="2573" max="2573" width="6.875" style="64" bestFit="1" customWidth="1"/>
    <col min="2574" max="2574" width="5" style="64" bestFit="1" customWidth="1"/>
    <col min="2575" max="2575" width="8" style="64" bestFit="1" customWidth="1"/>
    <col min="2576" max="2576" width="11.875" style="64" bestFit="1" customWidth="1"/>
    <col min="2577" max="2805" width="9" style="64"/>
    <col min="2806" max="2806" width="3.875" style="64" bestFit="1" customWidth="1"/>
    <col min="2807" max="2807" width="16" style="64" bestFit="1" customWidth="1"/>
    <col min="2808" max="2808" width="16.625" style="64" bestFit="1" customWidth="1"/>
    <col min="2809" max="2809" width="13.5" style="64" bestFit="1" customWidth="1"/>
    <col min="2810" max="2811" width="10.875" style="64" bestFit="1" customWidth="1"/>
    <col min="2812" max="2812" width="6.25" style="64" bestFit="1" customWidth="1"/>
    <col min="2813" max="2813" width="8.875" style="64" bestFit="1" customWidth="1"/>
    <col min="2814" max="2814" width="13.875" style="64" bestFit="1" customWidth="1"/>
    <col min="2815" max="2815" width="13.25" style="64" bestFit="1" customWidth="1"/>
    <col min="2816" max="2816" width="16" style="64" bestFit="1" customWidth="1"/>
    <col min="2817" max="2817" width="11.625" style="64" bestFit="1" customWidth="1"/>
    <col min="2818" max="2818" width="16.875" style="64" customWidth="1"/>
    <col min="2819" max="2819" width="13.25" style="64" customWidth="1"/>
    <col min="2820" max="2820" width="18.375" style="64" bestFit="1" customWidth="1"/>
    <col min="2821" max="2821" width="15" style="64" bestFit="1" customWidth="1"/>
    <col min="2822" max="2822" width="14.75" style="64" bestFit="1" customWidth="1"/>
    <col min="2823" max="2823" width="14.625" style="64" bestFit="1" customWidth="1"/>
    <col min="2824" max="2824" width="13.75" style="64" bestFit="1" customWidth="1"/>
    <col min="2825" max="2825" width="14.25" style="64" bestFit="1" customWidth="1"/>
    <col min="2826" max="2826" width="15.125" style="64" customWidth="1"/>
    <col min="2827" max="2827" width="20.5" style="64" bestFit="1" customWidth="1"/>
    <col min="2828" max="2828" width="27.875" style="64" bestFit="1" customWidth="1"/>
    <col min="2829" max="2829" width="6.875" style="64" bestFit="1" customWidth="1"/>
    <col min="2830" max="2830" width="5" style="64" bestFit="1" customWidth="1"/>
    <col min="2831" max="2831" width="8" style="64" bestFit="1" customWidth="1"/>
    <col min="2832" max="2832" width="11.875" style="64" bestFit="1" customWidth="1"/>
    <col min="2833" max="3061" width="9" style="64"/>
    <col min="3062" max="3062" width="3.875" style="64" bestFit="1" customWidth="1"/>
    <col min="3063" max="3063" width="16" style="64" bestFit="1" customWidth="1"/>
    <col min="3064" max="3064" width="16.625" style="64" bestFit="1" customWidth="1"/>
    <col min="3065" max="3065" width="13.5" style="64" bestFit="1" customWidth="1"/>
    <col min="3066" max="3067" width="10.875" style="64" bestFit="1" customWidth="1"/>
    <col min="3068" max="3068" width="6.25" style="64" bestFit="1" customWidth="1"/>
    <col min="3069" max="3069" width="8.875" style="64" bestFit="1" customWidth="1"/>
    <col min="3070" max="3070" width="13.875" style="64" bestFit="1" customWidth="1"/>
    <col min="3071" max="3071" width="13.25" style="64" bestFit="1" customWidth="1"/>
    <col min="3072" max="3072" width="16" style="64" bestFit="1" customWidth="1"/>
    <col min="3073" max="3073" width="11.625" style="64" bestFit="1" customWidth="1"/>
    <col min="3074" max="3074" width="16.875" style="64" customWidth="1"/>
    <col min="3075" max="3075" width="13.25" style="64" customWidth="1"/>
    <col min="3076" max="3076" width="18.375" style="64" bestFit="1" customWidth="1"/>
    <col min="3077" max="3077" width="15" style="64" bestFit="1" customWidth="1"/>
    <col min="3078" max="3078" width="14.75" style="64" bestFit="1" customWidth="1"/>
    <col min="3079" max="3079" width="14.625" style="64" bestFit="1" customWidth="1"/>
    <col min="3080" max="3080" width="13.75" style="64" bestFit="1" customWidth="1"/>
    <col min="3081" max="3081" width="14.25" style="64" bestFit="1" customWidth="1"/>
    <col min="3082" max="3082" width="15.125" style="64" customWidth="1"/>
    <col min="3083" max="3083" width="20.5" style="64" bestFit="1" customWidth="1"/>
    <col min="3084" max="3084" width="27.875" style="64" bestFit="1" customWidth="1"/>
    <col min="3085" max="3085" width="6.875" style="64" bestFit="1" customWidth="1"/>
    <col min="3086" max="3086" width="5" style="64" bestFit="1" customWidth="1"/>
    <col min="3087" max="3087" width="8" style="64" bestFit="1" customWidth="1"/>
    <col min="3088" max="3088" width="11.875" style="64" bestFit="1" customWidth="1"/>
    <col min="3089" max="3317" width="9" style="64"/>
    <col min="3318" max="3318" width="3.875" style="64" bestFit="1" customWidth="1"/>
    <col min="3319" max="3319" width="16" style="64" bestFit="1" customWidth="1"/>
    <col min="3320" max="3320" width="16.625" style="64" bestFit="1" customWidth="1"/>
    <col min="3321" max="3321" width="13.5" style="64" bestFit="1" customWidth="1"/>
    <col min="3322" max="3323" width="10.875" style="64" bestFit="1" customWidth="1"/>
    <col min="3324" max="3324" width="6.25" style="64" bestFit="1" customWidth="1"/>
    <col min="3325" max="3325" width="8.875" style="64" bestFit="1" customWidth="1"/>
    <col min="3326" max="3326" width="13.875" style="64" bestFit="1" customWidth="1"/>
    <col min="3327" max="3327" width="13.25" style="64" bestFit="1" customWidth="1"/>
    <col min="3328" max="3328" width="16" style="64" bestFit="1" customWidth="1"/>
    <col min="3329" max="3329" width="11.625" style="64" bestFit="1" customWidth="1"/>
    <col min="3330" max="3330" width="16.875" style="64" customWidth="1"/>
    <col min="3331" max="3331" width="13.25" style="64" customWidth="1"/>
    <col min="3332" max="3332" width="18.375" style="64" bestFit="1" customWidth="1"/>
    <col min="3333" max="3333" width="15" style="64" bestFit="1" customWidth="1"/>
    <col min="3334" max="3334" width="14.75" style="64" bestFit="1" customWidth="1"/>
    <col min="3335" max="3335" width="14.625" style="64" bestFit="1" customWidth="1"/>
    <col min="3336" max="3336" width="13.75" style="64" bestFit="1" customWidth="1"/>
    <col min="3337" max="3337" width="14.25" style="64" bestFit="1" customWidth="1"/>
    <col min="3338" max="3338" width="15.125" style="64" customWidth="1"/>
    <col min="3339" max="3339" width="20.5" style="64" bestFit="1" customWidth="1"/>
    <col min="3340" max="3340" width="27.875" style="64" bestFit="1" customWidth="1"/>
    <col min="3341" max="3341" width="6.875" style="64" bestFit="1" customWidth="1"/>
    <col min="3342" max="3342" width="5" style="64" bestFit="1" customWidth="1"/>
    <col min="3343" max="3343" width="8" style="64" bestFit="1" customWidth="1"/>
    <col min="3344" max="3344" width="11.875" style="64" bestFit="1" customWidth="1"/>
    <col min="3345" max="3573" width="9" style="64"/>
    <col min="3574" max="3574" width="3.875" style="64" bestFit="1" customWidth="1"/>
    <col min="3575" max="3575" width="16" style="64" bestFit="1" customWidth="1"/>
    <col min="3576" max="3576" width="16.625" style="64" bestFit="1" customWidth="1"/>
    <col min="3577" max="3577" width="13.5" style="64" bestFit="1" customWidth="1"/>
    <col min="3578" max="3579" width="10.875" style="64" bestFit="1" customWidth="1"/>
    <col min="3580" max="3580" width="6.25" style="64" bestFit="1" customWidth="1"/>
    <col min="3581" max="3581" width="8.875" style="64" bestFit="1" customWidth="1"/>
    <col min="3582" max="3582" width="13.875" style="64" bestFit="1" customWidth="1"/>
    <col min="3583" max="3583" width="13.25" style="64" bestFit="1" customWidth="1"/>
    <col min="3584" max="3584" width="16" style="64" bestFit="1" customWidth="1"/>
    <col min="3585" max="3585" width="11.625" style="64" bestFit="1" customWidth="1"/>
    <col min="3586" max="3586" width="16.875" style="64" customWidth="1"/>
    <col min="3587" max="3587" width="13.25" style="64" customWidth="1"/>
    <col min="3588" max="3588" width="18.375" style="64" bestFit="1" customWidth="1"/>
    <col min="3589" max="3589" width="15" style="64" bestFit="1" customWidth="1"/>
    <col min="3590" max="3590" width="14.75" style="64" bestFit="1" customWidth="1"/>
    <col min="3591" max="3591" width="14.625" style="64" bestFit="1" customWidth="1"/>
    <col min="3592" max="3592" width="13.75" style="64" bestFit="1" customWidth="1"/>
    <col min="3593" max="3593" width="14.25" style="64" bestFit="1" customWidth="1"/>
    <col min="3594" max="3594" width="15.125" style="64" customWidth="1"/>
    <col min="3595" max="3595" width="20.5" style="64" bestFit="1" customWidth="1"/>
    <col min="3596" max="3596" width="27.875" style="64" bestFit="1" customWidth="1"/>
    <col min="3597" max="3597" width="6.875" style="64" bestFit="1" customWidth="1"/>
    <col min="3598" max="3598" width="5" style="64" bestFit="1" customWidth="1"/>
    <col min="3599" max="3599" width="8" style="64" bestFit="1" customWidth="1"/>
    <col min="3600" max="3600" width="11.875" style="64" bestFit="1" customWidth="1"/>
    <col min="3601" max="3829" width="9" style="64"/>
    <col min="3830" max="3830" width="3.875" style="64" bestFit="1" customWidth="1"/>
    <col min="3831" max="3831" width="16" style="64" bestFit="1" customWidth="1"/>
    <col min="3832" max="3832" width="16.625" style="64" bestFit="1" customWidth="1"/>
    <col min="3833" max="3833" width="13.5" style="64" bestFit="1" customWidth="1"/>
    <col min="3834" max="3835" width="10.875" style="64" bestFit="1" customWidth="1"/>
    <col min="3836" max="3836" width="6.25" style="64" bestFit="1" customWidth="1"/>
    <col min="3837" max="3837" width="8.875" style="64" bestFit="1" customWidth="1"/>
    <col min="3838" max="3838" width="13.875" style="64" bestFit="1" customWidth="1"/>
    <col min="3839" max="3839" width="13.25" style="64" bestFit="1" customWidth="1"/>
    <col min="3840" max="3840" width="16" style="64" bestFit="1" customWidth="1"/>
    <col min="3841" max="3841" width="11.625" style="64" bestFit="1" customWidth="1"/>
    <col min="3842" max="3842" width="16.875" style="64" customWidth="1"/>
    <col min="3843" max="3843" width="13.25" style="64" customWidth="1"/>
    <col min="3844" max="3844" width="18.375" style="64" bestFit="1" customWidth="1"/>
    <col min="3845" max="3845" width="15" style="64" bestFit="1" customWidth="1"/>
    <col min="3846" max="3846" width="14.75" style="64" bestFit="1" customWidth="1"/>
    <col min="3847" max="3847" width="14.625" style="64" bestFit="1" customWidth="1"/>
    <col min="3848" max="3848" width="13.75" style="64" bestFit="1" customWidth="1"/>
    <col min="3849" max="3849" width="14.25" style="64" bestFit="1" customWidth="1"/>
    <col min="3850" max="3850" width="15.125" style="64" customWidth="1"/>
    <col min="3851" max="3851" width="20.5" style="64" bestFit="1" customWidth="1"/>
    <col min="3852" max="3852" width="27.875" style="64" bestFit="1" customWidth="1"/>
    <col min="3853" max="3853" width="6.875" style="64" bestFit="1" customWidth="1"/>
    <col min="3854" max="3854" width="5" style="64" bestFit="1" customWidth="1"/>
    <col min="3855" max="3855" width="8" style="64" bestFit="1" customWidth="1"/>
    <col min="3856" max="3856" width="11.875" style="64" bestFit="1" customWidth="1"/>
    <col min="3857" max="4085" width="9" style="64"/>
    <col min="4086" max="4086" width="3.875" style="64" bestFit="1" customWidth="1"/>
    <col min="4087" max="4087" width="16" style="64" bestFit="1" customWidth="1"/>
    <col min="4088" max="4088" width="16.625" style="64" bestFit="1" customWidth="1"/>
    <col min="4089" max="4089" width="13.5" style="64" bestFit="1" customWidth="1"/>
    <col min="4090" max="4091" width="10.875" style="64" bestFit="1" customWidth="1"/>
    <col min="4092" max="4092" width="6.25" style="64" bestFit="1" customWidth="1"/>
    <col min="4093" max="4093" width="8.875" style="64" bestFit="1" customWidth="1"/>
    <col min="4094" max="4094" width="13.875" style="64" bestFit="1" customWidth="1"/>
    <col min="4095" max="4095" width="13.25" style="64" bestFit="1" customWidth="1"/>
    <col min="4096" max="4096" width="16" style="64" bestFit="1" customWidth="1"/>
    <col min="4097" max="4097" width="11.625" style="64" bestFit="1" customWidth="1"/>
    <col min="4098" max="4098" width="16.875" style="64" customWidth="1"/>
    <col min="4099" max="4099" width="13.25" style="64" customWidth="1"/>
    <col min="4100" max="4100" width="18.375" style="64" bestFit="1" customWidth="1"/>
    <col min="4101" max="4101" width="15" style="64" bestFit="1" customWidth="1"/>
    <col min="4102" max="4102" width="14.75" style="64" bestFit="1" customWidth="1"/>
    <col min="4103" max="4103" width="14.625" style="64" bestFit="1" customWidth="1"/>
    <col min="4104" max="4104" width="13.75" style="64" bestFit="1" customWidth="1"/>
    <col min="4105" max="4105" width="14.25" style="64" bestFit="1" customWidth="1"/>
    <col min="4106" max="4106" width="15.125" style="64" customWidth="1"/>
    <col min="4107" max="4107" width="20.5" style="64" bestFit="1" customWidth="1"/>
    <col min="4108" max="4108" width="27.875" style="64" bestFit="1" customWidth="1"/>
    <col min="4109" max="4109" width="6.875" style="64" bestFit="1" customWidth="1"/>
    <col min="4110" max="4110" width="5" style="64" bestFit="1" customWidth="1"/>
    <col min="4111" max="4111" width="8" style="64" bestFit="1" customWidth="1"/>
    <col min="4112" max="4112" width="11.875" style="64" bestFit="1" customWidth="1"/>
    <col min="4113" max="4341" width="9" style="64"/>
    <col min="4342" max="4342" width="3.875" style="64" bestFit="1" customWidth="1"/>
    <col min="4343" max="4343" width="16" style="64" bestFit="1" customWidth="1"/>
    <col min="4344" max="4344" width="16.625" style="64" bestFit="1" customWidth="1"/>
    <col min="4345" max="4345" width="13.5" style="64" bestFit="1" customWidth="1"/>
    <col min="4346" max="4347" width="10.875" style="64" bestFit="1" customWidth="1"/>
    <col min="4348" max="4348" width="6.25" style="64" bestFit="1" customWidth="1"/>
    <col min="4349" max="4349" width="8.875" style="64" bestFit="1" customWidth="1"/>
    <col min="4350" max="4350" width="13.875" style="64" bestFit="1" customWidth="1"/>
    <col min="4351" max="4351" width="13.25" style="64" bestFit="1" customWidth="1"/>
    <col min="4352" max="4352" width="16" style="64" bestFit="1" customWidth="1"/>
    <col min="4353" max="4353" width="11.625" style="64" bestFit="1" customWidth="1"/>
    <col min="4354" max="4354" width="16.875" style="64" customWidth="1"/>
    <col min="4355" max="4355" width="13.25" style="64" customWidth="1"/>
    <col min="4356" max="4356" width="18.375" style="64" bestFit="1" customWidth="1"/>
    <col min="4357" max="4357" width="15" style="64" bestFit="1" customWidth="1"/>
    <col min="4358" max="4358" width="14.75" style="64" bestFit="1" customWidth="1"/>
    <col min="4359" max="4359" width="14.625" style="64" bestFit="1" customWidth="1"/>
    <col min="4360" max="4360" width="13.75" style="64" bestFit="1" customWidth="1"/>
    <col min="4361" max="4361" width="14.25" style="64" bestFit="1" customWidth="1"/>
    <col min="4362" max="4362" width="15.125" style="64" customWidth="1"/>
    <col min="4363" max="4363" width="20.5" style="64" bestFit="1" customWidth="1"/>
    <col min="4364" max="4364" width="27.875" style="64" bestFit="1" customWidth="1"/>
    <col min="4365" max="4365" width="6.875" style="64" bestFit="1" customWidth="1"/>
    <col min="4366" max="4366" width="5" style="64" bestFit="1" customWidth="1"/>
    <col min="4367" max="4367" width="8" style="64" bestFit="1" customWidth="1"/>
    <col min="4368" max="4368" width="11.875" style="64" bestFit="1" customWidth="1"/>
    <col min="4369" max="4597" width="9" style="64"/>
    <col min="4598" max="4598" width="3.875" style="64" bestFit="1" customWidth="1"/>
    <col min="4599" max="4599" width="16" style="64" bestFit="1" customWidth="1"/>
    <col min="4600" max="4600" width="16.625" style="64" bestFit="1" customWidth="1"/>
    <col min="4601" max="4601" width="13.5" style="64" bestFit="1" customWidth="1"/>
    <col min="4602" max="4603" width="10.875" style="64" bestFit="1" customWidth="1"/>
    <col min="4604" max="4604" width="6.25" style="64" bestFit="1" customWidth="1"/>
    <col min="4605" max="4605" width="8.875" style="64" bestFit="1" customWidth="1"/>
    <col min="4606" max="4606" width="13.875" style="64" bestFit="1" customWidth="1"/>
    <col min="4607" max="4607" width="13.25" style="64" bestFit="1" customWidth="1"/>
    <col min="4608" max="4608" width="16" style="64" bestFit="1" customWidth="1"/>
    <col min="4609" max="4609" width="11.625" style="64" bestFit="1" customWidth="1"/>
    <col min="4610" max="4610" width="16.875" style="64" customWidth="1"/>
    <col min="4611" max="4611" width="13.25" style="64" customWidth="1"/>
    <col min="4612" max="4612" width="18.375" style="64" bestFit="1" customWidth="1"/>
    <col min="4613" max="4613" width="15" style="64" bestFit="1" customWidth="1"/>
    <col min="4614" max="4614" width="14.75" style="64" bestFit="1" customWidth="1"/>
    <col min="4615" max="4615" width="14.625" style="64" bestFit="1" customWidth="1"/>
    <col min="4616" max="4616" width="13.75" style="64" bestFit="1" customWidth="1"/>
    <col min="4617" max="4617" width="14.25" style="64" bestFit="1" customWidth="1"/>
    <col min="4618" max="4618" width="15.125" style="64" customWidth="1"/>
    <col min="4619" max="4619" width="20.5" style="64" bestFit="1" customWidth="1"/>
    <col min="4620" max="4620" width="27.875" style="64" bestFit="1" customWidth="1"/>
    <col min="4621" max="4621" width="6.875" style="64" bestFit="1" customWidth="1"/>
    <col min="4622" max="4622" width="5" style="64" bestFit="1" customWidth="1"/>
    <col min="4623" max="4623" width="8" style="64" bestFit="1" customWidth="1"/>
    <col min="4624" max="4624" width="11.875" style="64" bestFit="1" customWidth="1"/>
    <col min="4625" max="4853" width="9" style="64"/>
    <col min="4854" max="4854" width="3.875" style="64" bestFit="1" customWidth="1"/>
    <col min="4855" max="4855" width="16" style="64" bestFit="1" customWidth="1"/>
    <col min="4856" max="4856" width="16.625" style="64" bestFit="1" customWidth="1"/>
    <col min="4857" max="4857" width="13.5" style="64" bestFit="1" customWidth="1"/>
    <col min="4858" max="4859" width="10.875" style="64" bestFit="1" customWidth="1"/>
    <col min="4860" max="4860" width="6.25" style="64" bestFit="1" customWidth="1"/>
    <col min="4861" max="4861" width="8.875" style="64" bestFit="1" customWidth="1"/>
    <col min="4862" max="4862" width="13.875" style="64" bestFit="1" customWidth="1"/>
    <col min="4863" max="4863" width="13.25" style="64" bestFit="1" customWidth="1"/>
    <col min="4864" max="4864" width="16" style="64" bestFit="1" customWidth="1"/>
    <col min="4865" max="4865" width="11.625" style="64" bestFit="1" customWidth="1"/>
    <col min="4866" max="4866" width="16.875" style="64" customWidth="1"/>
    <col min="4867" max="4867" width="13.25" style="64" customWidth="1"/>
    <col min="4868" max="4868" width="18.375" style="64" bestFit="1" customWidth="1"/>
    <col min="4869" max="4869" width="15" style="64" bestFit="1" customWidth="1"/>
    <col min="4870" max="4870" width="14.75" style="64" bestFit="1" customWidth="1"/>
    <col min="4871" max="4871" width="14.625" style="64" bestFit="1" customWidth="1"/>
    <col min="4872" max="4872" width="13.75" style="64" bestFit="1" customWidth="1"/>
    <col min="4873" max="4873" width="14.25" style="64" bestFit="1" customWidth="1"/>
    <col min="4874" max="4874" width="15.125" style="64" customWidth="1"/>
    <col min="4875" max="4875" width="20.5" style="64" bestFit="1" customWidth="1"/>
    <col min="4876" max="4876" width="27.875" style="64" bestFit="1" customWidth="1"/>
    <col min="4877" max="4877" width="6.875" style="64" bestFit="1" customWidth="1"/>
    <col min="4878" max="4878" width="5" style="64" bestFit="1" customWidth="1"/>
    <col min="4879" max="4879" width="8" style="64" bestFit="1" customWidth="1"/>
    <col min="4880" max="4880" width="11.875" style="64" bestFit="1" customWidth="1"/>
    <col min="4881" max="5109" width="9" style="64"/>
    <col min="5110" max="5110" width="3.875" style="64" bestFit="1" customWidth="1"/>
    <col min="5111" max="5111" width="16" style="64" bestFit="1" customWidth="1"/>
    <col min="5112" max="5112" width="16.625" style="64" bestFit="1" customWidth="1"/>
    <col min="5113" max="5113" width="13.5" style="64" bestFit="1" customWidth="1"/>
    <col min="5114" max="5115" width="10.875" style="64" bestFit="1" customWidth="1"/>
    <col min="5116" max="5116" width="6.25" style="64" bestFit="1" customWidth="1"/>
    <col min="5117" max="5117" width="8.875" style="64" bestFit="1" customWidth="1"/>
    <col min="5118" max="5118" width="13.875" style="64" bestFit="1" customWidth="1"/>
    <col min="5119" max="5119" width="13.25" style="64" bestFit="1" customWidth="1"/>
    <col min="5120" max="5120" width="16" style="64" bestFit="1" customWidth="1"/>
    <col min="5121" max="5121" width="11.625" style="64" bestFit="1" customWidth="1"/>
    <col min="5122" max="5122" width="16.875" style="64" customWidth="1"/>
    <col min="5123" max="5123" width="13.25" style="64" customWidth="1"/>
    <col min="5124" max="5124" width="18.375" style="64" bestFit="1" customWidth="1"/>
    <col min="5125" max="5125" width="15" style="64" bestFit="1" customWidth="1"/>
    <col min="5126" max="5126" width="14.75" style="64" bestFit="1" customWidth="1"/>
    <col min="5127" max="5127" width="14.625" style="64" bestFit="1" customWidth="1"/>
    <col min="5128" max="5128" width="13.75" style="64" bestFit="1" customWidth="1"/>
    <col min="5129" max="5129" width="14.25" style="64" bestFit="1" customWidth="1"/>
    <col min="5130" max="5130" width="15.125" style="64" customWidth="1"/>
    <col min="5131" max="5131" width="20.5" style="64" bestFit="1" customWidth="1"/>
    <col min="5132" max="5132" width="27.875" style="64" bestFit="1" customWidth="1"/>
    <col min="5133" max="5133" width="6.875" style="64" bestFit="1" customWidth="1"/>
    <col min="5134" max="5134" width="5" style="64" bestFit="1" customWidth="1"/>
    <col min="5135" max="5135" width="8" style="64" bestFit="1" customWidth="1"/>
    <col min="5136" max="5136" width="11.875" style="64" bestFit="1" customWidth="1"/>
    <col min="5137" max="5365" width="9" style="64"/>
    <col min="5366" max="5366" width="3.875" style="64" bestFit="1" customWidth="1"/>
    <col min="5367" max="5367" width="16" style="64" bestFit="1" customWidth="1"/>
    <col min="5368" max="5368" width="16.625" style="64" bestFit="1" customWidth="1"/>
    <col min="5369" max="5369" width="13.5" style="64" bestFit="1" customWidth="1"/>
    <col min="5370" max="5371" width="10.875" style="64" bestFit="1" customWidth="1"/>
    <col min="5372" max="5372" width="6.25" style="64" bestFit="1" customWidth="1"/>
    <col min="5373" max="5373" width="8.875" style="64" bestFit="1" customWidth="1"/>
    <col min="5374" max="5374" width="13.875" style="64" bestFit="1" customWidth="1"/>
    <col min="5375" max="5375" width="13.25" style="64" bestFit="1" customWidth="1"/>
    <col min="5376" max="5376" width="16" style="64" bestFit="1" customWidth="1"/>
    <col min="5377" max="5377" width="11.625" style="64" bestFit="1" customWidth="1"/>
    <col min="5378" max="5378" width="16.875" style="64" customWidth="1"/>
    <col min="5379" max="5379" width="13.25" style="64" customWidth="1"/>
    <col min="5380" max="5380" width="18.375" style="64" bestFit="1" customWidth="1"/>
    <col min="5381" max="5381" width="15" style="64" bestFit="1" customWidth="1"/>
    <col min="5382" max="5382" width="14.75" style="64" bestFit="1" customWidth="1"/>
    <col min="5383" max="5383" width="14.625" style="64" bestFit="1" customWidth="1"/>
    <col min="5384" max="5384" width="13.75" style="64" bestFit="1" customWidth="1"/>
    <col min="5385" max="5385" width="14.25" style="64" bestFit="1" customWidth="1"/>
    <col min="5386" max="5386" width="15.125" style="64" customWidth="1"/>
    <col min="5387" max="5387" width="20.5" style="64" bestFit="1" customWidth="1"/>
    <col min="5388" max="5388" width="27.875" style="64" bestFit="1" customWidth="1"/>
    <col min="5389" max="5389" width="6.875" style="64" bestFit="1" customWidth="1"/>
    <col min="5390" max="5390" width="5" style="64" bestFit="1" customWidth="1"/>
    <col min="5391" max="5391" width="8" style="64" bestFit="1" customWidth="1"/>
    <col min="5392" max="5392" width="11.875" style="64" bestFit="1" customWidth="1"/>
    <col min="5393" max="5621" width="9" style="64"/>
    <col min="5622" max="5622" width="3.875" style="64" bestFit="1" customWidth="1"/>
    <col min="5623" max="5623" width="16" style="64" bestFit="1" customWidth="1"/>
    <col min="5624" max="5624" width="16.625" style="64" bestFit="1" customWidth="1"/>
    <col min="5625" max="5625" width="13.5" style="64" bestFit="1" customWidth="1"/>
    <col min="5626" max="5627" width="10.875" style="64" bestFit="1" customWidth="1"/>
    <col min="5628" max="5628" width="6.25" style="64" bestFit="1" customWidth="1"/>
    <col min="5629" max="5629" width="8.875" style="64" bestFit="1" customWidth="1"/>
    <col min="5630" max="5630" width="13.875" style="64" bestFit="1" customWidth="1"/>
    <col min="5631" max="5631" width="13.25" style="64" bestFit="1" customWidth="1"/>
    <col min="5632" max="5632" width="16" style="64" bestFit="1" customWidth="1"/>
    <col min="5633" max="5633" width="11.625" style="64" bestFit="1" customWidth="1"/>
    <col min="5634" max="5634" width="16.875" style="64" customWidth="1"/>
    <col min="5635" max="5635" width="13.25" style="64" customWidth="1"/>
    <col min="5636" max="5636" width="18.375" style="64" bestFit="1" customWidth="1"/>
    <col min="5637" max="5637" width="15" style="64" bestFit="1" customWidth="1"/>
    <col min="5638" max="5638" width="14.75" style="64" bestFit="1" customWidth="1"/>
    <col min="5639" max="5639" width="14.625" style="64" bestFit="1" customWidth="1"/>
    <col min="5640" max="5640" width="13.75" style="64" bestFit="1" customWidth="1"/>
    <col min="5641" max="5641" width="14.25" style="64" bestFit="1" customWidth="1"/>
    <col min="5642" max="5642" width="15.125" style="64" customWidth="1"/>
    <col min="5643" max="5643" width="20.5" style="64" bestFit="1" customWidth="1"/>
    <col min="5644" max="5644" width="27.875" style="64" bestFit="1" customWidth="1"/>
    <col min="5645" max="5645" width="6.875" style="64" bestFit="1" customWidth="1"/>
    <col min="5646" max="5646" width="5" style="64" bestFit="1" customWidth="1"/>
    <col min="5647" max="5647" width="8" style="64" bestFit="1" customWidth="1"/>
    <col min="5648" max="5648" width="11.875" style="64" bestFit="1" customWidth="1"/>
    <col min="5649" max="5877" width="9" style="64"/>
    <col min="5878" max="5878" width="3.875" style="64" bestFit="1" customWidth="1"/>
    <col min="5879" max="5879" width="16" style="64" bestFit="1" customWidth="1"/>
    <col min="5880" max="5880" width="16.625" style="64" bestFit="1" customWidth="1"/>
    <col min="5881" max="5881" width="13.5" style="64" bestFit="1" customWidth="1"/>
    <col min="5882" max="5883" width="10.875" style="64" bestFit="1" customWidth="1"/>
    <col min="5884" max="5884" width="6.25" style="64" bestFit="1" customWidth="1"/>
    <col min="5885" max="5885" width="8.875" style="64" bestFit="1" customWidth="1"/>
    <col min="5886" max="5886" width="13.875" style="64" bestFit="1" customWidth="1"/>
    <col min="5887" max="5887" width="13.25" style="64" bestFit="1" customWidth="1"/>
    <col min="5888" max="5888" width="16" style="64" bestFit="1" customWidth="1"/>
    <col min="5889" max="5889" width="11.625" style="64" bestFit="1" customWidth="1"/>
    <col min="5890" max="5890" width="16.875" style="64" customWidth="1"/>
    <col min="5891" max="5891" width="13.25" style="64" customWidth="1"/>
    <col min="5892" max="5892" width="18.375" style="64" bestFit="1" customWidth="1"/>
    <col min="5893" max="5893" width="15" style="64" bestFit="1" customWidth="1"/>
    <col min="5894" max="5894" width="14.75" style="64" bestFit="1" customWidth="1"/>
    <col min="5895" max="5895" width="14.625" style="64" bestFit="1" customWidth="1"/>
    <col min="5896" max="5896" width="13.75" style="64" bestFit="1" customWidth="1"/>
    <col min="5897" max="5897" width="14.25" style="64" bestFit="1" customWidth="1"/>
    <col min="5898" max="5898" width="15.125" style="64" customWidth="1"/>
    <col min="5899" max="5899" width="20.5" style="64" bestFit="1" customWidth="1"/>
    <col min="5900" max="5900" width="27.875" style="64" bestFit="1" customWidth="1"/>
    <col min="5901" max="5901" width="6.875" style="64" bestFit="1" customWidth="1"/>
    <col min="5902" max="5902" width="5" style="64" bestFit="1" customWidth="1"/>
    <col min="5903" max="5903" width="8" style="64" bestFit="1" customWidth="1"/>
    <col min="5904" max="5904" width="11.875" style="64" bestFit="1" customWidth="1"/>
    <col min="5905" max="6133" width="9" style="64"/>
    <col min="6134" max="6134" width="3.875" style="64" bestFit="1" customWidth="1"/>
    <col min="6135" max="6135" width="16" style="64" bestFit="1" customWidth="1"/>
    <col min="6136" max="6136" width="16.625" style="64" bestFit="1" customWidth="1"/>
    <col min="6137" max="6137" width="13.5" style="64" bestFit="1" customWidth="1"/>
    <col min="6138" max="6139" width="10.875" style="64" bestFit="1" customWidth="1"/>
    <col min="6140" max="6140" width="6.25" style="64" bestFit="1" customWidth="1"/>
    <col min="6141" max="6141" width="8.875" style="64" bestFit="1" customWidth="1"/>
    <col min="6142" max="6142" width="13.875" style="64" bestFit="1" customWidth="1"/>
    <col min="6143" max="6143" width="13.25" style="64" bestFit="1" customWidth="1"/>
    <col min="6144" max="6144" width="16" style="64" bestFit="1" customWidth="1"/>
    <col min="6145" max="6145" width="11.625" style="64" bestFit="1" customWidth="1"/>
    <col min="6146" max="6146" width="16.875" style="64" customWidth="1"/>
    <col min="6147" max="6147" width="13.25" style="64" customWidth="1"/>
    <col min="6148" max="6148" width="18.375" style="64" bestFit="1" customWidth="1"/>
    <col min="6149" max="6149" width="15" style="64" bestFit="1" customWidth="1"/>
    <col min="6150" max="6150" width="14.75" style="64" bestFit="1" customWidth="1"/>
    <col min="6151" max="6151" width="14.625" style="64" bestFit="1" customWidth="1"/>
    <col min="6152" max="6152" width="13.75" style="64" bestFit="1" customWidth="1"/>
    <col min="6153" max="6153" width="14.25" style="64" bestFit="1" customWidth="1"/>
    <col min="6154" max="6154" width="15.125" style="64" customWidth="1"/>
    <col min="6155" max="6155" width="20.5" style="64" bestFit="1" customWidth="1"/>
    <col min="6156" max="6156" width="27.875" style="64" bestFit="1" customWidth="1"/>
    <col min="6157" max="6157" width="6.875" style="64" bestFit="1" customWidth="1"/>
    <col min="6158" max="6158" width="5" style="64" bestFit="1" customWidth="1"/>
    <col min="6159" max="6159" width="8" style="64" bestFit="1" customWidth="1"/>
    <col min="6160" max="6160" width="11.875" style="64" bestFit="1" customWidth="1"/>
    <col min="6161" max="6389" width="9" style="64"/>
    <col min="6390" max="6390" width="3.875" style="64" bestFit="1" customWidth="1"/>
    <col min="6391" max="6391" width="16" style="64" bestFit="1" customWidth="1"/>
    <col min="6392" max="6392" width="16.625" style="64" bestFit="1" customWidth="1"/>
    <col min="6393" max="6393" width="13.5" style="64" bestFit="1" customWidth="1"/>
    <col min="6394" max="6395" width="10.875" style="64" bestFit="1" customWidth="1"/>
    <col min="6396" max="6396" width="6.25" style="64" bestFit="1" customWidth="1"/>
    <col min="6397" max="6397" width="8.875" style="64" bestFit="1" customWidth="1"/>
    <col min="6398" max="6398" width="13.875" style="64" bestFit="1" customWidth="1"/>
    <col min="6399" max="6399" width="13.25" style="64" bestFit="1" customWidth="1"/>
    <col min="6400" max="6400" width="16" style="64" bestFit="1" customWidth="1"/>
    <col min="6401" max="6401" width="11.625" style="64" bestFit="1" customWidth="1"/>
    <col min="6402" max="6402" width="16.875" style="64" customWidth="1"/>
    <col min="6403" max="6403" width="13.25" style="64" customWidth="1"/>
    <col min="6404" max="6404" width="18.375" style="64" bestFit="1" customWidth="1"/>
    <col min="6405" max="6405" width="15" style="64" bestFit="1" customWidth="1"/>
    <col min="6406" max="6406" width="14.75" style="64" bestFit="1" customWidth="1"/>
    <col min="6407" max="6407" width="14.625" style="64" bestFit="1" customWidth="1"/>
    <col min="6408" max="6408" width="13.75" style="64" bestFit="1" customWidth="1"/>
    <col min="6409" max="6409" width="14.25" style="64" bestFit="1" customWidth="1"/>
    <col min="6410" max="6410" width="15.125" style="64" customWidth="1"/>
    <col min="6411" max="6411" width="20.5" style="64" bestFit="1" customWidth="1"/>
    <col min="6412" max="6412" width="27.875" style="64" bestFit="1" customWidth="1"/>
    <col min="6413" max="6413" width="6.875" style="64" bestFit="1" customWidth="1"/>
    <col min="6414" max="6414" width="5" style="64" bestFit="1" customWidth="1"/>
    <col min="6415" max="6415" width="8" style="64" bestFit="1" customWidth="1"/>
    <col min="6416" max="6416" width="11.875" style="64" bestFit="1" customWidth="1"/>
    <col min="6417" max="6645" width="9" style="64"/>
    <col min="6646" max="6646" width="3.875" style="64" bestFit="1" customWidth="1"/>
    <col min="6647" max="6647" width="16" style="64" bestFit="1" customWidth="1"/>
    <col min="6648" max="6648" width="16.625" style="64" bestFit="1" customWidth="1"/>
    <col min="6649" max="6649" width="13.5" style="64" bestFit="1" customWidth="1"/>
    <col min="6650" max="6651" width="10.875" style="64" bestFit="1" customWidth="1"/>
    <col min="6652" max="6652" width="6.25" style="64" bestFit="1" customWidth="1"/>
    <col min="6653" max="6653" width="8.875" style="64" bestFit="1" customWidth="1"/>
    <col min="6654" max="6654" width="13.875" style="64" bestFit="1" customWidth="1"/>
    <col min="6655" max="6655" width="13.25" style="64" bestFit="1" customWidth="1"/>
    <col min="6656" max="6656" width="16" style="64" bestFit="1" customWidth="1"/>
    <col min="6657" max="6657" width="11.625" style="64" bestFit="1" customWidth="1"/>
    <col min="6658" max="6658" width="16.875" style="64" customWidth="1"/>
    <col min="6659" max="6659" width="13.25" style="64" customWidth="1"/>
    <col min="6660" max="6660" width="18.375" style="64" bestFit="1" customWidth="1"/>
    <col min="6661" max="6661" width="15" style="64" bestFit="1" customWidth="1"/>
    <col min="6662" max="6662" width="14.75" style="64" bestFit="1" customWidth="1"/>
    <col min="6663" max="6663" width="14.625" style="64" bestFit="1" customWidth="1"/>
    <col min="6664" max="6664" width="13.75" style="64" bestFit="1" customWidth="1"/>
    <col min="6665" max="6665" width="14.25" style="64" bestFit="1" customWidth="1"/>
    <col min="6666" max="6666" width="15.125" style="64" customWidth="1"/>
    <col min="6667" max="6667" width="20.5" style="64" bestFit="1" customWidth="1"/>
    <col min="6668" max="6668" width="27.875" style="64" bestFit="1" customWidth="1"/>
    <col min="6669" max="6669" width="6.875" style="64" bestFit="1" customWidth="1"/>
    <col min="6670" max="6670" width="5" style="64" bestFit="1" customWidth="1"/>
    <col min="6671" max="6671" width="8" style="64" bestFit="1" customWidth="1"/>
    <col min="6672" max="6672" width="11.875" style="64" bestFit="1" customWidth="1"/>
    <col min="6673" max="6901" width="9" style="64"/>
    <col min="6902" max="6902" width="3.875" style="64" bestFit="1" customWidth="1"/>
    <col min="6903" max="6903" width="16" style="64" bestFit="1" customWidth="1"/>
    <col min="6904" max="6904" width="16.625" style="64" bestFit="1" customWidth="1"/>
    <col min="6905" max="6905" width="13.5" style="64" bestFit="1" customWidth="1"/>
    <col min="6906" max="6907" width="10.875" style="64" bestFit="1" customWidth="1"/>
    <col min="6908" max="6908" width="6.25" style="64" bestFit="1" customWidth="1"/>
    <col min="6909" max="6909" width="8.875" style="64" bestFit="1" customWidth="1"/>
    <col min="6910" max="6910" width="13.875" style="64" bestFit="1" customWidth="1"/>
    <col min="6911" max="6911" width="13.25" style="64" bestFit="1" customWidth="1"/>
    <col min="6912" max="6912" width="16" style="64" bestFit="1" customWidth="1"/>
    <col min="6913" max="6913" width="11.625" style="64" bestFit="1" customWidth="1"/>
    <col min="6914" max="6914" width="16.875" style="64" customWidth="1"/>
    <col min="6915" max="6915" width="13.25" style="64" customWidth="1"/>
    <col min="6916" max="6916" width="18.375" style="64" bestFit="1" customWidth="1"/>
    <col min="6917" max="6917" width="15" style="64" bestFit="1" customWidth="1"/>
    <col min="6918" max="6918" width="14.75" style="64" bestFit="1" customWidth="1"/>
    <col min="6919" max="6919" width="14.625" style="64" bestFit="1" customWidth="1"/>
    <col min="6920" max="6920" width="13.75" style="64" bestFit="1" customWidth="1"/>
    <col min="6921" max="6921" width="14.25" style="64" bestFit="1" customWidth="1"/>
    <col min="6922" max="6922" width="15.125" style="64" customWidth="1"/>
    <col min="6923" max="6923" width="20.5" style="64" bestFit="1" customWidth="1"/>
    <col min="6924" max="6924" width="27.875" style="64" bestFit="1" customWidth="1"/>
    <col min="6925" max="6925" width="6.875" style="64" bestFit="1" customWidth="1"/>
    <col min="6926" max="6926" width="5" style="64" bestFit="1" customWidth="1"/>
    <col min="6927" max="6927" width="8" style="64" bestFit="1" customWidth="1"/>
    <col min="6928" max="6928" width="11.875" style="64" bestFit="1" customWidth="1"/>
    <col min="6929" max="7157" width="9" style="64"/>
    <col min="7158" max="7158" width="3.875" style="64" bestFit="1" customWidth="1"/>
    <col min="7159" max="7159" width="16" style="64" bestFit="1" customWidth="1"/>
    <col min="7160" max="7160" width="16.625" style="64" bestFit="1" customWidth="1"/>
    <col min="7161" max="7161" width="13.5" style="64" bestFit="1" customWidth="1"/>
    <col min="7162" max="7163" width="10.875" style="64" bestFit="1" customWidth="1"/>
    <col min="7164" max="7164" width="6.25" style="64" bestFit="1" customWidth="1"/>
    <col min="7165" max="7165" width="8.875" style="64" bestFit="1" customWidth="1"/>
    <col min="7166" max="7166" width="13.875" style="64" bestFit="1" customWidth="1"/>
    <col min="7167" max="7167" width="13.25" style="64" bestFit="1" customWidth="1"/>
    <col min="7168" max="7168" width="16" style="64" bestFit="1" customWidth="1"/>
    <col min="7169" max="7169" width="11.625" style="64" bestFit="1" customWidth="1"/>
    <col min="7170" max="7170" width="16.875" style="64" customWidth="1"/>
    <col min="7171" max="7171" width="13.25" style="64" customWidth="1"/>
    <col min="7172" max="7172" width="18.375" style="64" bestFit="1" customWidth="1"/>
    <col min="7173" max="7173" width="15" style="64" bestFit="1" customWidth="1"/>
    <col min="7174" max="7174" width="14.75" style="64" bestFit="1" customWidth="1"/>
    <col min="7175" max="7175" width="14.625" style="64" bestFit="1" customWidth="1"/>
    <col min="7176" max="7176" width="13.75" style="64" bestFit="1" customWidth="1"/>
    <col min="7177" max="7177" width="14.25" style="64" bestFit="1" customWidth="1"/>
    <col min="7178" max="7178" width="15.125" style="64" customWidth="1"/>
    <col min="7179" max="7179" width="20.5" style="64" bestFit="1" customWidth="1"/>
    <col min="7180" max="7180" width="27.875" style="64" bestFit="1" customWidth="1"/>
    <col min="7181" max="7181" width="6.875" style="64" bestFit="1" customWidth="1"/>
    <col min="7182" max="7182" width="5" style="64" bestFit="1" customWidth="1"/>
    <col min="7183" max="7183" width="8" style="64" bestFit="1" customWidth="1"/>
    <col min="7184" max="7184" width="11.875" style="64" bestFit="1" customWidth="1"/>
    <col min="7185" max="7413" width="9" style="64"/>
    <col min="7414" max="7414" width="3.875" style="64" bestFit="1" customWidth="1"/>
    <col min="7415" max="7415" width="16" style="64" bestFit="1" customWidth="1"/>
    <col min="7416" max="7416" width="16.625" style="64" bestFit="1" customWidth="1"/>
    <col min="7417" max="7417" width="13.5" style="64" bestFit="1" customWidth="1"/>
    <col min="7418" max="7419" width="10.875" style="64" bestFit="1" customWidth="1"/>
    <col min="7420" max="7420" width="6.25" style="64" bestFit="1" customWidth="1"/>
    <col min="7421" max="7421" width="8.875" style="64" bestFit="1" customWidth="1"/>
    <col min="7422" max="7422" width="13.875" style="64" bestFit="1" customWidth="1"/>
    <col min="7423" max="7423" width="13.25" style="64" bestFit="1" customWidth="1"/>
    <col min="7424" max="7424" width="16" style="64" bestFit="1" customWidth="1"/>
    <col min="7425" max="7425" width="11.625" style="64" bestFit="1" customWidth="1"/>
    <col min="7426" max="7426" width="16.875" style="64" customWidth="1"/>
    <col min="7427" max="7427" width="13.25" style="64" customWidth="1"/>
    <col min="7428" max="7428" width="18.375" style="64" bestFit="1" customWidth="1"/>
    <col min="7429" max="7429" width="15" style="64" bestFit="1" customWidth="1"/>
    <col min="7430" max="7430" width="14.75" style="64" bestFit="1" customWidth="1"/>
    <col min="7431" max="7431" width="14.625" style="64" bestFit="1" customWidth="1"/>
    <col min="7432" max="7432" width="13.75" style="64" bestFit="1" customWidth="1"/>
    <col min="7433" max="7433" width="14.25" style="64" bestFit="1" customWidth="1"/>
    <col min="7434" max="7434" width="15.125" style="64" customWidth="1"/>
    <col min="7435" max="7435" width="20.5" style="64" bestFit="1" customWidth="1"/>
    <col min="7436" max="7436" width="27.875" style="64" bestFit="1" customWidth="1"/>
    <col min="7437" max="7437" width="6.875" style="64" bestFit="1" customWidth="1"/>
    <col min="7438" max="7438" width="5" style="64" bestFit="1" customWidth="1"/>
    <col min="7439" max="7439" width="8" style="64" bestFit="1" customWidth="1"/>
    <col min="7440" max="7440" width="11.875" style="64" bestFit="1" customWidth="1"/>
    <col min="7441" max="7669" width="9" style="64"/>
    <col min="7670" max="7670" width="3.875" style="64" bestFit="1" customWidth="1"/>
    <col min="7671" max="7671" width="16" style="64" bestFit="1" customWidth="1"/>
    <col min="7672" max="7672" width="16.625" style="64" bestFit="1" customWidth="1"/>
    <col min="7673" max="7673" width="13.5" style="64" bestFit="1" customWidth="1"/>
    <col min="7674" max="7675" width="10.875" style="64" bestFit="1" customWidth="1"/>
    <col min="7676" max="7676" width="6.25" style="64" bestFit="1" customWidth="1"/>
    <col min="7677" max="7677" width="8.875" style="64" bestFit="1" customWidth="1"/>
    <col min="7678" max="7678" width="13.875" style="64" bestFit="1" customWidth="1"/>
    <col min="7679" max="7679" width="13.25" style="64" bestFit="1" customWidth="1"/>
    <col min="7680" max="7680" width="16" style="64" bestFit="1" customWidth="1"/>
    <col min="7681" max="7681" width="11.625" style="64" bestFit="1" customWidth="1"/>
    <col min="7682" max="7682" width="16.875" style="64" customWidth="1"/>
    <col min="7683" max="7683" width="13.25" style="64" customWidth="1"/>
    <col min="7684" max="7684" width="18.375" style="64" bestFit="1" customWidth="1"/>
    <col min="7685" max="7685" width="15" style="64" bestFit="1" customWidth="1"/>
    <col min="7686" max="7686" width="14.75" style="64" bestFit="1" customWidth="1"/>
    <col min="7687" max="7687" width="14.625" style="64" bestFit="1" customWidth="1"/>
    <col min="7688" max="7688" width="13.75" style="64" bestFit="1" customWidth="1"/>
    <col min="7689" max="7689" width="14.25" style="64" bestFit="1" customWidth="1"/>
    <col min="7690" max="7690" width="15.125" style="64" customWidth="1"/>
    <col min="7691" max="7691" width="20.5" style="64" bestFit="1" customWidth="1"/>
    <col min="7692" max="7692" width="27.875" style="64" bestFit="1" customWidth="1"/>
    <col min="7693" max="7693" width="6.875" style="64" bestFit="1" customWidth="1"/>
    <col min="7694" max="7694" width="5" style="64" bestFit="1" customWidth="1"/>
    <col min="7695" max="7695" width="8" style="64" bestFit="1" customWidth="1"/>
    <col min="7696" max="7696" width="11.875" style="64" bestFit="1" customWidth="1"/>
    <col min="7697" max="7925" width="9" style="64"/>
    <col min="7926" max="7926" width="3.875" style="64" bestFit="1" customWidth="1"/>
    <col min="7927" max="7927" width="16" style="64" bestFit="1" customWidth="1"/>
    <col min="7928" max="7928" width="16.625" style="64" bestFit="1" customWidth="1"/>
    <col min="7929" max="7929" width="13.5" style="64" bestFit="1" customWidth="1"/>
    <col min="7930" max="7931" width="10.875" style="64" bestFit="1" customWidth="1"/>
    <col min="7932" max="7932" width="6.25" style="64" bestFit="1" customWidth="1"/>
    <col min="7933" max="7933" width="8.875" style="64" bestFit="1" customWidth="1"/>
    <col min="7934" max="7934" width="13.875" style="64" bestFit="1" customWidth="1"/>
    <col min="7935" max="7935" width="13.25" style="64" bestFit="1" customWidth="1"/>
    <col min="7936" max="7936" width="16" style="64" bestFit="1" customWidth="1"/>
    <col min="7937" max="7937" width="11.625" style="64" bestFit="1" customWidth="1"/>
    <col min="7938" max="7938" width="16.875" style="64" customWidth="1"/>
    <col min="7939" max="7939" width="13.25" style="64" customWidth="1"/>
    <col min="7940" max="7940" width="18.375" style="64" bestFit="1" customWidth="1"/>
    <col min="7941" max="7941" width="15" style="64" bestFit="1" customWidth="1"/>
    <col min="7942" max="7942" width="14.75" style="64" bestFit="1" customWidth="1"/>
    <col min="7943" max="7943" width="14.625" style="64" bestFit="1" customWidth="1"/>
    <col min="7944" max="7944" width="13.75" style="64" bestFit="1" customWidth="1"/>
    <col min="7945" max="7945" width="14.25" style="64" bestFit="1" customWidth="1"/>
    <col min="7946" max="7946" width="15.125" style="64" customWidth="1"/>
    <col min="7947" max="7947" width="20.5" style="64" bestFit="1" customWidth="1"/>
    <col min="7948" max="7948" width="27.875" style="64" bestFit="1" customWidth="1"/>
    <col min="7949" max="7949" width="6.875" style="64" bestFit="1" customWidth="1"/>
    <col min="7950" max="7950" width="5" style="64" bestFit="1" customWidth="1"/>
    <col min="7951" max="7951" width="8" style="64" bestFit="1" customWidth="1"/>
    <col min="7952" max="7952" width="11.875" style="64" bestFit="1" customWidth="1"/>
    <col min="7953" max="8181" width="9" style="64"/>
    <col min="8182" max="8182" width="3.875" style="64" bestFit="1" customWidth="1"/>
    <col min="8183" max="8183" width="16" style="64" bestFit="1" customWidth="1"/>
    <col min="8184" max="8184" width="16.625" style="64" bestFit="1" customWidth="1"/>
    <col min="8185" max="8185" width="13.5" style="64" bestFit="1" customWidth="1"/>
    <col min="8186" max="8187" width="10.875" style="64" bestFit="1" customWidth="1"/>
    <col min="8188" max="8188" width="6.25" style="64" bestFit="1" customWidth="1"/>
    <col min="8189" max="8189" width="8.875" style="64" bestFit="1" customWidth="1"/>
    <col min="8190" max="8190" width="13.875" style="64" bestFit="1" customWidth="1"/>
    <col min="8191" max="8191" width="13.25" style="64" bestFit="1" customWidth="1"/>
    <col min="8192" max="8192" width="16" style="64" bestFit="1" customWidth="1"/>
    <col min="8193" max="8193" width="11.625" style="64" bestFit="1" customWidth="1"/>
    <col min="8194" max="8194" width="16.875" style="64" customWidth="1"/>
    <col min="8195" max="8195" width="13.25" style="64" customWidth="1"/>
    <col min="8196" max="8196" width="18.375" style="64" bestFit="1" customWidth="1"/>
    <col min="8197" max="8197" width="15" style="64" bestFit="1" customWidth="1"/>
    <col min="8198" max="8198" width="14.75" style="64" bestFit="1" customWidth="1"/>
    <col min="8199" max="8199" width="14.625" style="64" bestFit="1" customWidth="1"/>
    <col min="8200" max="8200" width="13.75" style="64" bestFit="1" customWidth="1"/>
    <col min="8201" max="8201" width="14.25" style="64" bestFit="1" customWidth="1"/>
    <col min="8202" max="8202" width="15.125" style="64" customWidth="1"/>
    <col min="8203" max="8203" width="20.5" style="64" bestFit="1" customWidth="1"/>
    <col min="8204" max="8204" width="27.875" style="64" bestFit="1" customWidth="1"/>
    <col min="8205" max="8205" width="6.875" style="64" bestFit="1" customWidth="1"/>
    <col min="8206" max="8206" width="5" style="64" bestFit="1" customWidth="1"/>
    <col min="8207" max="8207" width="8" style="64" bestFit="1" customWidth="1"/>
    <col min="8208" max="8208" width="11.875" style="64" bestFit="1" customWidth="1"/>
    <col min="8209" max="8437" width="9" style="64"/>
    <col min="8438" max="8438" width="3.875" style="64" bestFit="1" customWidth="1"/>
    <col min="8439" max="8439" width="16" style="64" bestFit="1" customWidth="1"/>
    <col min="8440" max="8440" width="16.625" style="64" bestFit="1" customWidth="1"/>
    <col min="8441" max="8441" width="13.5" style="64" bestFit="1" customWidth="1"/>
    <col min="8442" max="8443" width="10.875" style="64" bestFit="1" customWidth="1"/>
    <col min="8444" max="8444" width="6.25" style="64" bestFit="1" customWidth="1"/>
    <col min="8445" max="8445" width="8.875" style="64" bestFit="1" customWidth="1"/>
    <col min="8446" max="8446" width="13.875" style="64" bestFit="1" customWidth="1"/>
    <col min="8447" max="8447" width="13.25" style="64" bestFit="1" customWidth="1"/>
    <col min="8448" max="8448" width="16" style="64" bestFit="1" customWidth="1"/>
    <col min="8449" max="8449" width="11.625" style="64" bestFit="1" customWidth="1"/>
    <col min="8450" max="8450" width="16.875" style="64" customWidth="1"/>
    <col min="8451" max="8451" width="13.25" style="64" customWidth="1"/>
    <col min="8452" max="8452" width="18.375" style="64" bestFit="1" customWidth="1"/>
    <col min="8453" max="8453" width="15" style="64" bestFit="1" customWidth="1"/>
    <col min="8454" max="8454" width="14.75" style="64" bestFit="1" customWidth="1"/>
    <col min="8455" max="8455" width="14.625" style="64" bestFit="1" customWidth="1"/>
    <col min="8456" max="8456" width="13.75" style="64" bestFit="1" customWidth="1"/>
    <col min="8457" max="8457" width="14.25" style="64" bestFit="1" customWidth="1"/>
    <col min="8458" max="8458" width="15.125" style="64" customWidth="1"/>
    <col min="8459" max="8459" width="20.5" style="64" bestFit="1" customWidth="1"/>
    <col min="8460" max="8460" width="27.875" style="64" bestFit="1" customWidth="1"/>
    <col min="8461" max="8461" width="6.875" style="64" bestFit="1" customWidth="1"/>
    <col min="8462" max="8462" width="5" style="64" bestFit="1" customWidth="1"/>
    <col min="8463" max="8463" width="8" style="64" bestFit="1" customWidth="1"/>
    <col min="8464" max="8464" width="11.875" style="64" bestFit="1" customWidth="1"/>
    <col min="8465" max="8693" width="9" style="64"/>
    <col min="8694" max="8694" width="3.875" style="64" bestFit="1" customWidth="1"/>
    <col min="8695" max="8695" width="16" style="64" bestFit="1" customWidth="1"/>
    <col min="8696" max="8696" width="16.625" style="64" bestFit="1" customWidth="1"/>
    <col min="8697" max="8697" width="13.5" style="64" bestFit="1" customWidth="1"/>
    <col min="8698" max="8699" width="10.875" style="64" bestFit="1" customWidth="1"/>
    <col min="8700" max="8700" width="6.25" style="64" bestFit="1" customWidth="1"/>
    <col min="8701" max="8701" width="8.875" style="64" bestFit="1" customWidth="1"/>
    <col min="8702" max="8702" width="13.875" style="64" bestFit="1" customWidth="1"/>
    <col min="8703" max="8703" width="13.25" style="64" bestFit="1" customWidth="1"/>
    <col min="8704" max="8704" width="16" style="64" bestFit="1" customWidth="1"/>
    <col min="8705" max="8705" width="11.625" style="64" bestFit="1" customWidth="1"/>
    <col min="8706" max="8706" width="16.875" style="64" customWidth="1"/>
    <col min="8707" max="8707" width="13.25" style="64" customWidth="1"/>
    <col min="8708" max="8708" width="18.375" style="64" bestFit="1" customWidth="1"/>
    <col min="8709" max="8709" width="15" style="64" bestFit="1" customWidth="1"/>
    <col min="8710" max="8710" width="14.75" style="64" bestFit="1" customWidth="1"/>
    <col min="8711" max="8711" width="14.625" style="64" bestFit="1" customWidth="1"/>
    <col min="8712" max="8712" width="13.75" style="64" bestFit="1" customWidth="1"/>
    <col min="8713" max="8713" width="14.25" style="64" bestFit="1" customWidth="1"/>
    <col min="8714" max="8714" width="15.125" style="64" customWidth="1"/>
    <col min="8715" max="8715" width="20.5" style="64" bestFit="1" customWidth="1"/>
    <col min="8716" max="8716" width="27.875" style="64" bestFit="1" customWidth="1"/>
    <col min="8717" max="8717" width="6.875" style="64" bestFit="1" customWidth="1"/>
    <col min="8718" max="8718" width="5" style="64" bestFit="1" customWidth="1"/>
    <col min="8719" max="8719" width="8" style="64" bestFit="1" customWidth="1"/>
    <col min="8720" max="8720" width="11.875" style="64" bestFit="1" customWidth="1"/>
    <col min="8721" max="8949" width="9" style="64"/>
    <col min="8950" max="8950" width="3.875" style="64" bestFit="1" customWidth="1"/>
    <col min="8951" max="8951" width="16" style="64" bestFit="1" customWidth="1"/>
    <col min="8952" max="8952" width="16.625" style="64" bestFit="1" customWidth="1"/>
    <col min="8953" max="8953" width="13.5" style="64" bestFit="1" customWidth="1"/>
    <col min="8954" max="8955" width="10.875" style="64" bestFit="1" customWidth="1"/>
    <col min="8956" max="8956" width="6.25" style="64" bestFit="1" customWidth="1"/>
    <col min="8957" max="8957" width="8.875" style="64" bestFit="1" customWidth="1"/>
    <col min="8958" max="8958" width="13.875" style="64" bestFit="1" customWidth="1"/>
    <col min="8959" max="8959" width="13.25" style="64" bestFit="1" customWidth="1"/>
    <col min="8960" max="8960" width="16" style="64" bestFit="1" customWidth="1"/>
    <col min="8961" max="8961" width="11.625" style="64" bestFit="1" customWidth="1"/>
    <col min="8962" max="8962" width="16.875" style="64" customWidth="1"/>
    <col min="8963" max="8963" width="13.25" style="64" customWidth="1"/>
    <col min="8964" max="8964" width="18.375" style="64" bestFit="1" customWidth="1"/>
    <col min="8965" max="8965" width="15" style="64" bestFit="1" customWidth="1"/>
    <col min="8966" max="8966" width="14.75" style="64" bestFit="1" customWidth="1"/>
    <col min="8967" max="8967" width="14.625" style="64" bestFit="1" customWidth="1"/>
    <col min="8968" max="8968" width="13.75" style="64" bestFit="1" customWidth="1"/>
    <col min="8969" max="8969" width="14.25" style="64" bestFit="1" customWidth="1"/>
    <col min="8970" max="8970" width="15.125" style="64" customWidth="1"/>
    <col min="8971" max="8971" width="20.5" style="64" bestFit="1" customWidth="1"/>
    <col min="8972" max="8972" width="27.875" style="64" bestFit="1" customWidth="1"/>
    <col min="8973" max="8973" width="6.875" style="64" bestFit="1" customWidth="1"/>
    <col min="8974" max="8974" width="5" style="64" bestFit="1" customWidth="1"/>
    <col min="8975" max="8975" width="8" style="64" bestFit="1" customWidth="1"/>
    <col min="8976" max="8976" width="11.875" style="64" bestFit="1" customWidth="1"/>
    <col min="8977" max="9205" width="9" style="64"/>
    <col min="9206" max="9206" width="3.875" style="64" bestFit="1" customWidth="1"/>
    <col min="9207" max="9207" width="16" style="64" bestFit="1" customWidth="1"/>
    <col min="9208" max="9208" width="16.625" style="64" bestFit="1" customWidth="1"/>
    <col min="9209" max="9209" width="13.5" style="64" bestFit="1" customWidth="1"/>
    <col min="9210" max="9211" width="10.875" style="64" bestFit="1" customWidth="1"/>
    <col min="9212" max="9212" width="6.25" style="64" bestFit="1" customWidth="1"/>
    <col min="9213" max="9213" width="8.875" style="64" bestFit="1" customWidth="1"/>
    <col min="9214" max="9214" width="13.875" style="64" bestFit="1" customWidth="1"/>
    <col min="9215" max="9215" width="13.25" style="64" bestFit="1" customWidth="1"/>
    <col min="9216" max="9216" width="16" style="64" bestFit="1" customWidth="1"/>
    <col min="9217" max="9217" width="11.625" style="64" bestFit="1" customWidth="1"/>
    <col min="9218" max="9218" width="16.875" style="64" customWidth="1"/>
    <col min="9219" max="9219" width="13.25" style="64" customWidth="1"/>
    <col min="9220" max="9220" width="18.375" style="64" bestFit="1" customWidth="1"/>
    <col min="9221" max="9221" width="15" style="64" bestFit="1" customWidth="1"/>
    <col min="9222" max="9222" width="14.75" style="64" bestFit="1" customWidth="1"/>
    <col min="9223" max="9223" width="14.625" style="64" bestFit="1" customWidth="1"/>
    <col min="9224" max="9224" width="13.75" style="64" bestFit="1" customWidth="1"/>
    <col min="9225" max="9225" width="14.25" style="64" bestFit="1" customWidth="1"/>
    <col min="9226" max="9226" width="15.125" style="64" customWidth="1"/>
    <col min="9227" max="9227" width="20.5" style="64" bestFit="1" customWidth="1"/>
    <col min="9228" max="9228" width="27.875" style="64" bestFit="1" customWidth="1"/>
    <col min="9229" max="9229" width="6.875" style="64" bestFit="1" customWidth="1"/>
    <col min="9230" max="9230" width="5" style="64" bestFit="1" customWidth="1"/>
    <col min="9231" max="9231" width="8" style="64" bestFit="1" customWidth="1"/>
    <col min="9232" max="9232" width="11.875" style="64" bestFit="1" customWidth="1"/>
    <col min="9233" max="9461" width="9" style="64"/>
    <col min="9462" max="9462" width="3.875" style="64" bestFit="1" customWidth="1"/>
    <col min="9463" max="9463" width="16" style="64" bestFit="1" customWidth="1"/>
    <col min="9464" max="9464" width="16.625" style="64" bestFit="1" customWidth="1"/>
    <col min="9465" max="9465" width="13.5" style="64" bestFit="1" customWidth="1"/>
    <col min="9466" max="9467" width="10.875" style="64" bestFit="1" customWidth="1"/>
    <col min="9468" max="9468" width="6.25" style="64" bestFit="1" customWidth="1"/>
    <col min="9469" max="9469" width="8.875" style="64" bestFit="1" customWidth="1"/>
    <col min="9470" max="9470" width="13.875" style="64" bestFit="1" customWidth="1"/>
    <col min="9471" max="9471" width="13.25" style="64" bestFit="1" customWidth="1"/>
    <col min="9472" max="9472" width="16" style="64" bestFit="1" customWidth="1"/>
    <col min="9473" max="9473" width="11.625" style="64" bestFit="1" customWidth="1"/>
    <col min="9474" max="9474" width="16.875" style="64" customWidth="1"/>
    <col min="9475" max="9475" width="13.25" style="64" customWidth="1"/>
    <col min="9476" max="9476" width="18.375" style="64" bestFit="1" customWidth="1"/>
    <col min="9477" max="9477" width="15" style="64" bestFit="1" customWidth="1"/>
    <col min="9478" max="9478" width="14.75" style="64" bestFit="1" customWidth="1"/>
    <col min="9479" max="9479" width="14.625" style="64" bestFit="1" customWidth="1"/>
    <col min="9480" max="9480" width="13.75" style="64" bestFit="1" customWidth="1"/>
    <col min="9481" max="9481" width="14.25" style="64" bestFit="1" customWidth="1"/>
    <col min="9482" max="9482" width="15.125" style="64" customWidth="1"/>
    <col min="9483" max="9483" width="20.5" style="64" bestFit="1" customWidth="1"/>
    <col min="9484" max="9484" width="27.875" style="64" bestFit="1" customWidth="1"/>
    <col min="9485" max="9485" width="6.875" style="64" bestFit="1" customWidth="1"/>
    <col min="9486" max="9486" width="5" style="64" bestFit="1" customWidth="1"/>
    <col min="9487" max="9487" width="8" style="64" bestFit="1" customWidth="1"/>
    <col min="9488" max="9488" width="11.875" style="64" bestFit="1" customWidth="1"/>
    <col min="9489" max="9717" width="9" style="64"/>
    <col min="9718" max="9718" width="3.875" style="64" bestFit="1" customWidth="1"/>
    <col min="9719" max="9719" width="16" style="64" bestFit="1" customWidth="1"/>
    <col min="9720" max="9720" width="16.625" style="64" bestFit="1" customWidth="1"/>
    <col min="9721" max="9721" width="13.5" style="64" bestFit="1" customWidth="1"/>
    <col min="9722" max="9723" width="10.875" style="64" bestFit="1" customWidth="1"/>
    <col min="9724" max="9724" width="6.25" style="64" bestFit="1" customWidth="1"/>
    <col min="9725" max="9725" width="8.875" style="64" bestFit="1" customWidth="1"/>
    <col min="9726" max="9726" width="13.875" style="64" bestFit="1" customWidth="1"/>
    <col min="9727" max="9727" width="13.25" style="64" bestFit="1" customWidth="1"/>
    <col min="9728" max="9728" width="16" style="64" bestFit="1" customWidth="1"/>
    <col min="9729" max="9729" width="11.625" style="64" bestFit="1" customWidth="1"/>
    <col min="9730" max="9730" width="16.875" style="64" customWidth="1"/>
    <col min="9731" max="9731" width="13.25" style="64" customWidth="1"/>
    <col min="9732" max="9732" width="18.375" style="64" bestFit="1" customWidth="1"/>
    <col min="9733" max="9733" width="15" style="64" bestFit="1" customWidth="1"/>
    <col min="9734" max="9734" width="14.75" style="64" bestFit="1" customWidth="1"/>
    <col min="9735" max="9735" width="14.625" style="64" bestFit="1" customWidth="1"/>
    <col min="9736" max="9736" width="13.75" style="64" bestFit="1" customWidth="1"/>
    <col min="9737" max="9737" width="14.25" style="64" bestFit="1" customWidth="1"/>
    <col min="9738" max="9738" width="15.125" style="64" customWidth="1"/>
    <col min="9739" max="9739" width="20.5" style="64" bestFit="1" customWidth="1"/>
    <col min="9740" max="9740" width="27.875" style="64" bestFit="1" customWidth="1"/>
    <col min="9741" max="9741" width="6.875" style="64" bestFit="1" customWidth="1"/>
    <col min="9742" max="9742" width="5" style="64" bestFit="1" customWidth="1"/>
    <col min="9743" max="9743" width="8" style="64" bestFit="1" customWidth="1"/>
    <col min="9744" max="9744" width="11.875" style="64" bestFit="1" customWidth="1"/>
    <col min="9745" max="9973" width="9" style="64"/>
    <col min="9974" max="9974" width="3.875" style="64" bestFit="1" customWidth="1"/>
    <col min="9975" max="9975" width="16" style="64" bestFit="1" customWidth="1"/>
    <col min="9976" max="9976" width="16.625" style="64" bestFit="1" customWidth="1"/>
    <col min="9977" max="9977" width="13.5" style="64" bestFit="1" customWidth="1"/>
    <col min="9978" max="9979" width="10.875" style="64" bestFit="1" customWidth="1"/>
    <col min="9980" max="9980" width="6.25" style="64" bestFit="1" customWidth="1"/>
    <col min="9981" max="9981" width="8.875" style="64" bestFit="1" customWidth="1"/>
    <col min="9982" max="9982" width="13.875" style="64" bestFit="1" customWidth="1"/>
    <col min="9983" max="9983" width="13.25" style="64" bestFit="1" customWidth="1"/>
    <col min="9984" max="9984" width="16" style="64" bestFit="1" customWidth="1"/>
    <col min="9985" max="9985" width="11.625" style="64" bestFit="1" customWidth="1"/>
    <col min="9986" max="9986" width="16.875" style="64" customWidth="1"/>
    <col min="9987" max="9987" width="13.25" style="64" customWidth="1"/>
    <col min="9988" max="9988" width="18.375" style="64" bestFit="1" customWidth="1"/>
    <col min="9989" max="9989" width="15" style="64" bestFit="1" customWidth="1"/>
    <col min="9990" max="9990" width="14.75" style="64" bestFit="1" customWidth="1"/>
    <col min="9991" max="9991" width="14.625" style="64" bestFit="1" customWidth="1"/>
    <col min="9992" max="9992" width="13.75" style="64" bestFit="1" customWidth="1"/>
    <col min="9993" max="9993" width="14.25" style="64" bestFit="1" customWidth="1"/>
    <col min="9994" max="9994" width="15.125" style="64" customWidth="1"/>
    <col min="9995" max="9995" width="20.5" style="64" bestFit="1" customWidth="1"/>
    <col min="9996" max="9996" width="27.875" style="64" bestFit="1" customWidth="1"/>
    <col min="9997" max="9997" width="6.875" style="64" bestFit="1" customWidth="1"/>
    <col min="9998" max="9998" width="5" style="64" bestFit="1" customWidth="1"/>
    <col min="9999" max="9999" width="8" style="64" bestFit="1" customWidth="1"/>
    <col min="10000" max="10000" width="11.875" style="64" bestFit="1" customWidth="1"/>
    <col min="10001" max="10229" width="9" style="64"/>
    <col min="10230" max="10230" width="3.875" style="64" bestFit="1" customWidth="1"/>
    <col min="10231" max="10231" width="16" style="64" bestFit="1" customWidth="1"/>
    <col min="10232" max="10232" width="16.625" style="64" bestFit="1" customWidth="1"/>
    <col min="10233" max="10233" width="13.5" style="64" bestFit="1" customWidth="1"/>
    <col min="10234" max="10235" width="10.875" style="64" bestFit="1" customWidth="1"/>
    <col min="10236" max="10236" width="6.25" style="64" bestFit="1" customWidth="1"/>
    <col min="10237" max="10237" width="8.875" style="64" bestFit="1" customWidth="1"/>
    <col min="10238" max="10238" width="13.875" style="64" bestFit="1" customWidth="1"/>
    <col min="10239" max="10239" width="13.25" style="64" bestFit="1" customWidth="1"/>
    <col min="10240" max="10240" width="16" style="64" bestFit="1" customWidth="1"/>
    <col min="10241" max="10241" width="11.625" style="64" bestFit="1" customWidth="1"/>
    <col min="10242" max="10242" width="16.875" style="64" customWidth="1"/>
    <col min="10243" max="10243" width="13.25" style="64" customWidth="1"/>
    <col min="10244" max="10244" width="18.375" style="64" bestFit="1" customWidth="1"/>
    <col min="10245" max="10245" width="15" style="64" bestFit="1" customWidth="1"/>
    <col min="10246" max="10246" width="14.75" style="64" bestFit="1" customWidth="1"/>
    <col min="10247" max="10247" width="14.625" style="64" bestFit="1" customWidth="1"/>
    <col min="10248" max="10248" width="13.75" style="64" bestFit="1" customWidth="1"/>
    <col min="10249" max="10249" width="14.25" style="64" bestFit="1" customWidth="1"/>
    <col min="10250" max="10250" width="15.125" style="64" customWidth="1"/>
    <col min="10251" max="10251" width="20.5" style="64" bestFit="1" customWidth="1"/>
    <col min="10252" max="10252" width="27.875" style="64" bestFit="1" customWidth="1"/>
    <col min="10253" max="10253" width="6.875" style="64" bestFit="1" customWidth="1"/>
    <col min="10254" max="10254" width="5" style="64" bestFit="1" customWidth="1"/>
    <col min="10255" max="10255" width="8" style="64" bestFit="1" customWidth="1"/>
    <col min="10256" max="10256" width="11.875" style="64" bestFit="1" customWidth="1"/>
    <col min="10257" max="10485" width="9" style="64"/>
    <col min="10486" max="10486" width="3.875" style="64" bestFit="1" customWidth="1"/>
    <col min="10487" max="10487" width="16" style="64" bestFit="1" customWidth="1"/>
    <col min="10488" max="10488" width="16.625" style="64" bestFit="1" customWidth="1"/>
    <col min="10489" max="10489" width="13.5" style="64" bestFit="1" customWidth="1"/>
    <col min="10490" max="10491" width="10.875" style="64" bestFit="1" customWidth="1"/>
    <col min="10492" max="10492" width="6.25" style="64" bestFit="1" customWidth="1"/>
    <col min="10493" max="10493" width="8.875" style="64" bestFit="1" customWidth="1"/>
    <col min="10494" max="10494" width="13.875" style="64" bestFit="1" customWidth="1"/>
    <col min="10495" max="10495" width="13.25" style="64" bestFit="1" customWidth="1"/>
    <col min="10496" max="10496" width="16" style="64" bestFit="1" customWidth="1"/>
    <col min="10497" max="10497" width="11.625" style="64" bestFit="1" customWidth="1"/>
    <col min="10498" max="10498" width="16.875" style="64" customWidth="1"/>
    <col min="10499" max="10499" width="13.25" style="64" customWidth="1"/>
    <col min="10500" max="10500" width="18.375" style="64" bestFit="1" customWidth="1"/>
    <col min="10501" max="10501" width="15" style="64" bestFit="1" customWidth="1"/>
    <col min="10502" max="10502" width="14.75" style="64" bestFit="1" customWidth="1"/>
    <col min="10503" max="10503" width="14.625" style="64" bestFit="1" customWidth="1"/>
    <col min="10504" max="10504" width="13.75" style="64" bestFit="1" customWidth="1"/>
    <col min="10505" max="10505" width="14.25" style="64" bestFit="1" customWidth="1"/>
    <col min="10506" max="10506" width="15.125" style="64" customWidth="1"/>
    <col min="10507" max="10507" width="20.5" style="64" bestFit="1" customWidth="1"/>
    <col min="10508" max="10508" width="27.875" style="64" bestFit="1" customWidth="1"/>
    <col min="10509" max="10509" width="6.875" style="64" bestFit="1" customWidth="1"/>
    <col min="10510" max="10510" width="5" style="64" bestFit="1" customWidth="1"/>
    <col min="10511" max="10511" width="8" style="64" bestFit="1" customWidth="1"/>
    <col min="10512" max="10512" width="11.875" style="64" bestFit="1" customWidth="1"/>
    <col min="10513" max="10741" width="9" style="64"/>
    <col min="10742" max="10742" width="3.875" style="64" bestFit="1" customWidth="1"/>
    <col min="10743" max="10743" width="16" style="64" bestFit="1" customWidth="1"/>
    <col min="10744" max="10744" width="16.625" style="64" bestFit="1" customWidth="1"/>
    <col min="10745" max="10745" width="13.5" style="64" bestFit="1" customWidth="1"/>
    <col min="10746" max="10747" width="10.875" style="64" bestFit="1" customWidth="1"/>
    <col min="10748" max="10748" width="6.25" style="64" bestFit="1" customWidth="1"/>
    <col min="10749" max="10749" width="8.875" style="64" bestFit="1" customWidth="1"/>
    <col min="10750" max="10750" width="13.875" style="64" bestFit="1" customWidth="1"/>
    <col min="10751" max="10751" width="13.25" style="64" bestFit="1" customWidth="1"/>
    <col min="10752" max="10752" width="16" style="64" bestFit="1" customWidth="1"/>
    <col min="10753" max="10753" width="11.625" style="64" bestFit="1" customWidth="1"/>
    <col min="10754" max="10754" width="16.875" style="64" customWidth="1"/>
    <col min="10755" max="10755" width="13.25" style="64" customWidth="1"/>
    <col min="10756" max="10756" width="18.375" style="64" bestFit="1" customWidth="1"/>
    <col min="10757" max="10757" width="15" style="64" bestFit="1" customWidth="1"/>
    <col min="10758" max="10758" width="14.75" style="64" bestFit="1" customWidth="1"/>
    <col min="10759" max="10759" width="14.625" style="64" bestFit="1" customWidth="1"/>
    <col min="10760" max="10760" width="13.75" style="64" bestFit="1" customWidth="1"/>
    <col min="10761" max="10761" width="14.25" style="64" bestFit="1" customWidth="1"/>
    <col min="10762" max="10762" width="15.125" style="64" customWidth="1"/>
    <col min="10763" max="10763" width="20.5" style="64" bestFit="1" customWidth="1"/>
    <col min="10764" max="10764" width="27.875" style="64" bestFit="1" customWidth="1"/>
    <col min="10765" max="10765" width="6.875" style="64" bestFit="1" customWidth="1"/>
    <col min="10766" max="10766" width="5" style="64" bestFit="1" customWidth="1"/>
    <col min="10767" max="10767" width="8" style="64" bestFit="1" customWidth="1"/>
    <col min="10768" max="10768" width="11.875" style="64" bestFit="1" customWidth="1"/>
    <col min="10769" max="10997" width="9" style="64"/>
    <col min="10998" max="10998" width="3.875" style="64" bestFit="1" customWidth="1"/>
    <col min="10999" max="10999" width="16" style="64" bestFit="1" customWidth="1"/>
    <col min="11000" max="11000" width="16.625" style="64" bestFit="1" customWidth="1"/>
    <col min="11001" max="11001" width="13.5" style="64" bestFit="1" customWidth="1"/>
    <col min="11002" max="11003" width="10.875" style="64" bestFit="1" customWidth="1"/>
    <col min="11004" max="11004" width="6.25" style="64" bestFit="1" customWidth="1"/>
    <col min="11005" max="11005" width="8.875" style="64" bestFit="1" customWidth="1"/>
    <col min="11006" max="11006" width="13.875" style="64" bestFit="1" customWidth="1"/>
    <col min="11007" max="11007" width="13.25" style="64" bestFit="1" customWidth="1"/>
    <col min="11008" max="11008" width="16" style="64" bestFit="1" customWidth="1"/>
    <col min="11009" max="11009" width="11.625" style="64" bestFit="1" customWidth="1"/>
    <col min="11010" max="11010" width="16.875" style="64" customWidth="1"/>
    <col min="11011" max="11011" width="13.25" style="64" customWidth="1"/>
    <col min="11012" max="11012" width="18.375" style="64" bestFit="1" customWidth="1"/>
    <col min="11013" max="11013" width="15" style="64" bestFit="1" customWidth="1"/>
    <col min="11014" max="11014" width="14.75" style="64" bestFit="1" customWidth="1"/>
    <col min="11015" max="11015" width="14.625" style="64" bestFit="1" customWidth="1"/>
    <col min="11016" max="11016" width="13.75" style="64" bestFit="1" customWidth="1"/>
    <col min="11017" max="11017" width="14.25" style="64" bestFit="1" customWidth="1"/>
    <col min="11018" max="11018" width="15.125" style="64" customWidth="1"/>
    <col min="11019" max="11019" width="20.5" style="64" bestFit="1" customWidth="1"/>
    <col min="11020" max="11020" width="27.875" style="64" bestFit="1" customWidth="1"/>
    <col min="11021" max="11021" width="6.875" style="64" bestFit="1" customWidth="1"/>
    <col min="11022" max="11022" width="5" style="64" bestFit="1" customWidth="1"/>
    <col min="11023" max="11023" width="8" style="64" bestFit="1" customWidth="1"/>
    <col min="11024" max="11024" width="11.875" style="64" bestFit="1" customWidth="1"/>
    <col min="11025" max="11253" width="9" style="64"/>
    <col min="11254" max="11254" width="3.875" style="64" bestFit="1" customWidth="1"/>
    <col min="11255" max="11255" width="16" style="64" bestFit="1" customWidth="1"/>
    <col min="11256" max="11256" width="16.625" style="64" bestFit="1" customWidth="1"/>
    <col min="11257" max="11257" width="13.5" style="64" bestFit="1" customWidth="1"/>
    <col min="11258" max="11259" width="10.875" style="64" bestFit="1" customWidth="1"/>
    <col min="11260" max="11260" width="6.25" style="64" bestFit="1" customWidth="1"/>
    <col min="11261" max="11261" width="8.875" style="64" bestFit="1" customWidth="1"/>
    <col min="11262" max="11262" width="13.875" style="64" bestFit="1" customWidth="1"/>
    <col min="11263" max="11263" width="13.25" style="64" bestFit="1" customWidth="1"/>
    <col min="11264" max="11264" width="16" style="64" bestFit="1" customWidth="1"/>
    <col min="11265" max="11265" width="11.625" style="64" bestFit="1" customWidth="1"/>
    <col min="11266" max="11266" width="16.875" style="64" customWidth="1"/>
    <col min="11267" max="11267" width="13.25" style="64" customWidth="1"/>
    <col min="11268" max="11268" width="18.375" style="64" bestFit="1" customWidth="1"/>
    <col min="11269" max="11269" width="15" style="64" bestFit="1" customWidth="1"/>
    <col min="11270" max="11270" width="14.75" style="64" bestFit="1" customWidth="1"/>
    <col min="11271" max="11271" width="14.625" style="64" bestFit="1" customWidth="1"/>
    <col min="11272" max="11272" width="13.75" style="64" bestFit="1" customWidth="1"/>
    <col min="11273" max="11273" width="14.25" style="64" bestFit="1" customWidth="1"/>
    <col min="11274" max="11274" width="15.125" style="64" customWidth="1"/>
    <col min="11275" max="11275" width="20.5" style="64" bestFit="1" customWidth="1"/>
    <col min="11276" max="11276" width="27.875" style="64" bestFit="1" customWidth="1"/>
    <col min="11277" max="11277" width="6.875" style="64" bestFit="1" customWidth="1"/>
    <col min="11278" max="11278" width="5" style="64" bestFit="1" customWidth="1"/>
    <col min="11279" max="11279" width="8" style="64" bestFit="1" customWidth="1"/>
    <col min="11280" max="11280" width="11.875" style="64" bestFit="1" customWidth="1"/>
    <col min="11281" max="11509" width="9" style="64"/>
    <col min="11510" max="11510" width="3.875" style="64" bestFit="1" customWidth="1"/>
    <col min="11511" max="11511" width="16" style="64" bestFit="1" customWidth="1"/>
    <col min="11512" max="11512" width="16.625" style="64" bestFit="1" customWidth="1"/>
    <col min="11513" max="11513" width="13.5" style="64" bestFit="1" customWidth="1"/>
    <col min="11514" max="11515" width="10.875" style="64" bestFit="1" customWidth="1"/>
    <col min="11516" max="11516" width="6.25" style="64" bestFit="1" customWidth="1"/>
    <col min="11517" max="11517" width="8.875" style="64" bestFit="1" customWidth="1"/>
    <col min="11518" max="11518" width="13.875" style="64" bestFit="1" customWidth="1"/>
    <col min="11519" max="11519" width="13.25" style="64" bestFit="1" customWidth="1"/>
    <col min="11520" max="11520" width="16" style="64" bestFit="1" customWidth="1"/>
    <col min="11521" max="11521" width="11.625" style="64" bestFit="1" customWidth="1"/>
    <col min="11522" max="11522" width="16.875" style="64" customWidth="1"/>
    <col min="11523" max="11523" width="13.25" style="64" customWidth="1"/>
    <col min="11524" max="11524" width="18.375" style="64" bestFit="1" customWidth="1"/>
    <col min="11525" max="11525" width="15" style="64" bestFit="1" customWidth="1"/>
    <col min="11526" max="11526" width="14.75" style="64" bestFit="1" customWidth="1"/>
    <col min="11527" max="11527" width="14.625" style="64" bestFit="1" customWidth="1"/>
    <col min="11528" max="11528" width="13.75" style="64" bestFit="1" customWidth="1"/>
    <col min="11529" max="11529" width="14.25" style="64" bestFit="1" customWidth="1"/>
    <col min="11530" max="11530" width="15.125" style="64" customWidth="1"/>
    <col min="11531" max="11531" width="20.5" style="64" bestFit="1" customWidth="1"/>
    <col min="11532" max="11532" width="27.875" style="64" bestFit="1" customWidth="1"/>
    <col min="11533" max="11533" width="6.875" style="64" bestFit="1" customWidth="1"/>
    <col min="11534" max="11534" width="5" style="64" bestFit="1" customWidth="1"/>
    <col min="11535" max="11535" width="8" style="64" bestFit="1" customWidth="1"/>
    <col min="11536" max="11536" width="11.875" style="64" bestFit="1" customWidth="1"/>
    <col min="11537" max="11765" width="9" style="64"/>
    <col min="11766" max="11766" width="3.875" style="64" bestFit="1" customWidth="1"/>
    <col min="11767" max="11767" width="16" style="64" bestFit="1" customWidth="1"/>
    <col min="11768" max="11768" width="16.625" style="64" bestFit="1" customWidth="1"/>
    <col min="11769" max="11769" width="13.5" style="64" bestFit="1" customWidth="1"/>
    <col min="11770" max="11771" width="10.875" style="64" bestFit="1" customWidth="1"/>
    <col min="11772" max="11772" width="6.25" style="64" bestFit="1" customWidth="1"/>
    <col min="11773" max="11773" width="8.875" style="64" bestFit="1" customWidth="1"/>
    <col min="11774" max="11774" width="13.875" style="64" bestFit="1" customWidth="1"/>
    <col min="11775" max="11775" width="13.25" style="64" bestFit="1" customWidth="1"/>
    <col min="11776" max="11776" width="16" style="64" bestFit="1" customWidth="1"/>
    <col min="11777" max="11777" width="11.625" style="64" bestFit="1" customWidth="1"/>
    <col min="11778" max="11778" width="16.875" style="64" customWidth="1"/>
    <col min="11779" max="11779" width="13.25" style="64" customWidth="1"/>
    <col min="11780" max="11780" width="18.375" style="64" bestFit="1" customWidth="1"/>
    <col min="11781" max="11781" width="15" style="64" bestFit="1" customWidth="1"/>
    <col min="11782" max="11782" width="14.75" style="64" bestFit="1" customWidth="1"/>
    <col min="11783" max="11783" width="14.625" style="64" bestFit="1" customWidth="1"/>
    <col min="11784" max="11784" width="13.75" style="64" bestFit="1" customWidth="1"/>
    <col min="11785" max="11785" width="14.25" style="64" bestFit="1" customWidth="1"/>
    <col min="11786" max="11786" width="15.125" style="64" customWidth="1"/>
    <col min="11787" max="11787" width="20.5" style="64" bestFit="1" customWidth="1"/>
    <col min="11788" max="11788" width="27.875" style="64" bestFit="1" customWidth="1"/>
    <col min="11789" max="11789" width="6.875" style="64" bestFit="1" customWidth="1"/>
    <col min="11790" max="11790" width="5" style="64" bestFit="1" customWidth="1"/>
    <col min="11791" max="11791" width="8" style="64" bestFit="1" customWidth="1"/>
    <col min="11792" max="11792" width="11.875" style="64" bestFit="1" customWidth="1"/>
    <col min="11793" max="12021" width="9" style="64"/>
    <col min="12022" max="12022" width="3.875" style="64" bestFit="1" customWidth="1"/>
    <col min="12023" max="12023" width="16" style="64" bestFit="1" customWidth="1"/>
    <col min="12024" max="12024" width="16.625" style="64" bestFit="1" customWidth="1"/>
    <col min="12025" max="12025" width="13.5" style="64" bestFit="1" customWidth="1"/>
    <col min="12026" max="12027" width="10.875" style="64" bestFit="1" customWidth="1"/>
    <col min="12028" max="12028" width="6.25" style="64" bestFit="1" customWidth="1"/>
    <col min="12029" max="12029" width="8.875" style="64" bestFit="1" customWidth="1"/>
    <col min="12030" max="12030" width="13.875" style="64" bestFit="1" customWidth="1"/>
    <col min="12031" max="12031" width="13.25" style="64" bestFit="1" customWidth="1"/>
    <col min="12032" max="12032" width="16" style="64" bestFit="1" customWidth="1"/>
    <col min="12033" max="12033" width="11.625" style="64" bestFit="1" customWidth="1"/>
    <col min="12034" max="12034" width="16.875" style="64" customWidth="1"/>
    <col min="12035" max="12035" width="13.25" style="64" customWidth="1"/>
    <col min="12036" max="12036" width="18.375" style="64" bestFit="1" customWidth="1"/>
    <col min="12037" max="12037" width="15" style="64" bestFit="1" customWidth="1"/>
    <col min="12038" max="12038" width="14.75" style="64" bestFit="1" customWidth="1"/>
    <col min="12039" max="12039" width="14.625" style="64" bestFit="1" customWidth="1"/>
    <col min="12040" max="12040" width="13.75" style="64" bestFit="1" customWidth="1"/>
    <col min="12041" max="12041" width="14.25" style="64" bestFit="1" customWidth="1"/>
    <col min="12042" max="12042" width="15.125" style="64" customWidth="1"/>
    <col min="12043" max="12043" width="20.5" style="64" bestFit="1" customWidth="1"/>
    <col min="12044" max="12044" width="27.875" style="64" bestFit="1" customWidth="1"/>
    <col min="12045" max="12045" width="6.875" style="64" bestFit="1" customWidth="1"/>
    <col min="12046" max="12046" width="5" style="64" bestFit="1" customWidth="1"/>
    <col min="12047" max="12047" width="8" style="64" bestFit="1" customWidth="1"/>
    <col min="12048" max="12048" width="11.875" style="64" bestFit="1" customWidth="1"/>
    <col min="12049" max="12277" width="9" style="64"/>
    <col min="12278" max="12278" width="3.875" style="64" bestFit="1" customWidth="1"/>
    <col min="12279" max="12279" width="16" style="64" bestFit="1" customWidth="1"/>
    <col min="12280" max="12280" width="16.625" style="64" bestFit="1" customWidth="1"/>
    <col min="12281" max="12281" width="13.5" style="64" bestFit="1" customWidth="1"/>
    <col min="12282" max="12283" width="10.875" style="64" bestFit="1" customWidth="1"/>
    <col min="12284" max="12284" width="6.25" style="64" bestFit="1" customWidth="1"/>
    <col min="12285" max="12285" width="8.875" style="64" bestFit="1" customWidth="1"/>
    <col min="12286" max="12286" width="13.875" style="64" bestFit="1" customWidth="1"/>
    <col min="12287" max="12287" width="13.25" style="64" bestFit="1" customWidth="1"/>
    <col min="12288" max="12288" width="16" style="64" bestFit="1" customWidth="1"/>
    <col min="12289" max="12289" width="11.625" style="64" bestFit="1" customWidth="1"/>
    <col min="12290" max="12290" width="16.875" style="64" customWidth="1"/>
    <col min="12291" max="12291" width="13.25" style="64" customWidth="1"/>
    <col min="12292" max="12292" width="18.375" style="64" bestFit="1" customWidth="1"/>
    <col min="12293" max="12293" width="15" style="64" bestFit="1" customWidth="1"/>
    <col min="12294" max="12294" width="14.75" style="64" bestFit="1" customWidth="1"/>
    <col min="12295" max="12295" width="14.625" style="64" bestFit="1" customWidth="1"/>
    <col min="12296" max="12296" width="13.75" style="64" bestFit="1" customWidth="1"/>
    <col min="12297" max="12297" width="14.25" style="64" bestFit="1" customWidth="1"/>
    <col min="12298" max="12298" width="15.125" style="64" customWidth="1"/>
    <col min="12299" max="12299" width="20.5" style="64" bestFit="1" customWidth="1"/>
    <col min="12300" max="12300" width="27.875" style="64" bestFit="1" customWidth="1"/>
    <col min="12301" max="12301" width="6.875" style="64" bestFit="1" customWidth="1"/>
    <col min="12302" max="12302" width="5" style="64" bestFit="1" customWidth="1"/>
    <col min="12303" max="12303" width="8" style="64" bestFit="1" customWidth="1"/>
    <col min="12304" max="12304" width="11.875" style="64" bestFit="1" customWidth="1"/>
    <col min="12305" max="12533" width="9" style="64"/>
    <col min="12534" max="12534" width="3.875" style="64" bestFit="1" customWidth="1"/>
    <col min="12535" max="12535" width="16" style="64" bestFit="1" customWidth="1"/>
    <col min="12536" max="12536" width="16.625" style="64" bestFit="1" customWidth="1"/>
    <col min="12537" max="12537" width="13.5" style="64" bestFit="1" customWidth="1"/>
    <col min="12538" max="12539" width="10.875" style="64" bestFit="1" customWidth="1"/>
    <col min="12540" max="12540" width="6.25" style="64" bestFit="1" customWidth="1"/>
    <col min="12541" max="12541" width="8.875" style="64" bestFit="1" customWidth="1"/>
    <col min="12542" max="12542" width="13.875" style="64" bestFit="1" customWidth="1"/>
    <col min="12543" max="12543" width="13.25" style="64" bestFit="1" customWidth="1"/>
    <col min="12544" max="12544" width="16" style="64" bestFit="1" customWidth="1"/>
    <col min="12545" max="12545" width="11.625" style="64" bestFit="1" customWidth="1"/>
    <col min="12546" max="12546" width="16.875" style="64" customWidth="1"/>
    <col min="12547" max="12547" width="13.25" style="64" customWidth="1"/>
    <col min="12548" max="12548" width="18.375" style="64" bestFit="1" customWidth="1"/>
    <col min="12549" max="12549" width="15" style="64" bestFit="1" customWidth="1"/>
    <col min="12550" max="12550" width="14.75" style="64" bestFit="1" customWidth="1"/>
    <col min="12551" max="12551" width="14.625" style="64" bestFit="1" customWidth="1"/>
    <col min="12552" max="12552" width="13.75" style="64" bestFit="1" customWidth="1"/>
    <col min="12553" max="12553" width="14.25" style="64" bestFit="1" customWidth="1"/>
    <col min="12554" max="12554" width="15.125" style="64" customWidth="1"/>
    <col min="12555" max="12555" width="20.5" style="64" bestFit="1" customWidth="1"/>
    <col min="12556" max="12556" width="27.875" style="64" bestFit="1" customWidth="1"/>
    <col min="12557" max="12557" width="6.875" style="64" bestFit="1" customWidth="1"/>
    <col min="12558" max="12558" width="5" style="64" bestFit="1" customWidth="1"/>
    <col min="12559" max="12559" width="8" style="64" bestFit="1" customWidth="1"/>
    <col min="12560" max="12560" width="11.875" style="64" bestFit="1" customWidth="1"/>
    <col min="12561" max="12789" width="9" style="64"/>
    <col min="12790" max="12790" width="3.875" style="64" bestFit="1" customWidth="1"/>
    <col min="12791" max="12791" width="16" style="64" bestFit="1" customWidth="1"/>
    <col min="12792" max="12792" width="16.625" style="64" bestFit="1" customWidth="1"/>
    <col min="12793" max="12793" width="13.5" style="64" bestFit="1" customWidth="1"/>
    <col min="12794" max="12795" width="10.875" style="64" bestFit="1" customWidth="1"/>
    <col min="12796" max="12796" width="6.25" style="64" bestFit="1" customWidth="1"/>
    <col min="12797" max="12797" width="8.875" style="64" bestFit="1" customWidth="1"/>
    <col min="12798" max="12798" width="13.875" style="64" bestFit="1" customWidth="1"/>
    <col min="12799" max="12799" width="13.25" style="64" bestFit="1" customWidth="1"/>
    <col min="12800" max="12800" width="16" style="64" bestFit="1" customWidth="1"/>
    <col min="12801" max="12801" width="11.625" style="64" bestFit="1" customWidth="1"/>
    <col min="12802" max="12802" width="16.875" style="64" customWidth="1"/>
    <col min="12803" max="12803" width="13.25" style="64" customWidth="1"/>
    <col min="12804" max="12804" width="18.375" style="64" bestFit="1" customWidth="1"/>
    <col min="12805" max="12805" width="15" style="64" bestFit="1" customWidth="1"/>
    <col min="12806" max="12806" width="14.75" style="64" bestFit="1" customWidth="1"/>
    <col min="12807" max="12807" width="14.625" style="64" bestFit="1" customWidth="1"/>
    <col min="12808" max="12808" width="13.75" style="64" bestFit="1" customWidth="1"/>
    <col min="12809" max="12809" width="14.25" style="64" bestFit="1" customWidth="1"/>
    <col min="12810" max="12810" width="15.125" style="64" customWidth="1"/>
    <col min="12811" max="12811" width="20.5" style="64" bestFit="1" customWidth="1"/>
    <col min="12812" max="12812" width="27.875" style="64" bestFit="1" customWidth="1"/>
    <col min="12813" max="12813" width="6.875" style="64" bestFit="1" customWidth="1"/>
    <col min="12814" max="12814" width="5" style="64" bestFit="1" customWidth="1"/>
    <col min="12815" max="12815" width="8" style="64" bestFit="1" customWidth="1"/>
    <col min="12816" max="12816" width="11.875" style="64" bestFit="1" customWidth="1"/>
    <col min="12817" max="13045" width="9" style="64"/>
    <col min="13046" max="13046" width="3.875" style="64" bestFit="1" customWidth="1"/>
    <col min="13047" max="13047" width="16" style="64" bestFit="1" customWidth="1"/>
    <col min="13048" max="13048" width="16.625" style="64" bestFit="1" customWidth="1"/>
    <col min="13049" max="13049" width="13.5" style="64" bestFit="1" customWidth="1"/>
    <col min="13050" max="13051" width="10.875" style="64" bestFit="1" customWidth="1"/>
    <col min="13052" max="13052" width="6.25" style="64" bestFit="1" customWidth="1"/>
    <col min="13053" max="13053" width="8.875" style="64" bestFit="1" customWidth="1"/>
    <col min="13054" max="13054" width="13.875" style="64" bestFit="1" customWidth="1"/>
    <col min="13055" max="13055" width="13.25" style="64" bestFit="1" customWidth="1"/>
    <col min="13056" max="13056" width="16" style="64" bestFit="1" customWidth="1"/>
    <col min="13057" max="13057" width="11.625" style="64" bestFit="1" customWidth="1"/>
    <col min="13058" max="13058" width="16.875" style="64" customWidth="1"/>
    <col min="13059" max="13059" width="13.25" style="64" customWidth="1"/>
    <col min="13060" max="13060" width="18.375" style="64" bestFit="1" customWidth="1"/>
    <col min="13061" max="13061" width="15" style="64" bestFit="1" customWidth="1"/>
    <col min="13062" max="13062" width="14.75" style="64" bestFit="1" customWidth="1"/>
    <col min="13063" max="13063" width="14.625" style="64" bestFit="1" customWidth="1"/>
    <col min="13064" max="13064" width="13.75" style="64" bestFit="1" customWidth="1"/>
    <col min="13065" max="13065" width="14.25" style="64" bestFit="1" customWidth="1"/>
    <col min="13066" max="13066" width="15.125" style="64" customWidth="1"/>
    <col min="13067" max="13067" width="20.5" style="64" bestFit="1" customWidth="1"/>
    <col min="13068" max="13068" width="27.875" style="64" bestFit="1" customWidth="1"/>
    <col min="13069" max="13069" width="6.875" style="64" bestFit="1" customWidth="1"/>
    <col min="13070" max="13070" width="5" style="64" bestFit="1" customWidth="1"/>
    <col min="13071" max="13071" width="8" style="64" bestFit="1" customWidth="1"/>
    <col min="13072" max="13072" width="11.875" style="64" bestFit="1" customWidth="1"/>
    <col min="13073" max="13301" width="9" style="64"/>
    <col min="13302" max="13302" width="3.875" style="64" bestFit="1" customWidth="1"/>
    <col min="13303" max="13303" width="16" style="64" bestFit="1" customWidth="1"/>
    <col min="13304" max="13304" width="16.625" style="64" bestFit="1" customWidth="1"/>
    <col min="13305" max="13305" width="13.5" style="64" bestFit="1" customWidth="1"/>
    <col min="13306" max="13307" width="10.875" style="64" bestFit="1" customWidth="1"/>
    <col min="13308" max="13308" width="6.25" style="64" bestFit="1" customWidth="1"/>
    <col min="13309" max="13309" width="8.875" style="64" bestFit="1" customWidth="1"/>
    <col min="13310" max="13310" width="13.875" style="64" bestFit="1" customWidth="1"/>
    <col min="13311" max="13311" width="13.25" style="64" bestFit="1" customWidth="1"/>
    <col min="13312" max="13312" width="16" style="64" bestFit="1" customWidth="1"/>
    <col min="13313" max="13313" width="11.625" style="64" bestFit="1" customWidth="1"/>
    <col min="13314" max="13314" width="16.875" style="64" customWidth="1"/>
    <col min="13315" max="13315" width="13.25" style="64" customWidth="1"/>
    <col min="13316" max="13316" width="18.375" style="64" bestFit="1" customWidth="1"/>
    <col min="13317" max="13317" width="15" style="64" bestFit="1" customWidth="1"/>
    <col min="13318" max="13318" width="14.75" style="64" bestFit="1" customWidth="1"/>
    <col min="13319" max="13319" width="14.625" style="64" bestFit="1" customWidth="1"/>
    <col min="13320" max="13320" width="13.75" style="64" bestFit="1" customWidth="1"/>
    <col min="13321" max="13321" width="14.25" style="64" bestFit="1" customWidth="1"/>
    <col min="13322" max="13322" width="15.125" style="64" customWidth="1"/>
    <col min="13323" max="13323" width="20.5" style="64" bestFit="1" customWidth="1"/>
    <col min="13324" max="13324" width="27.875" style="64" bestFit="1" customWidth="1"/>
    <col min="13325" max="13325" width="6.875" style="64" bestFit="1" customWidth="1"/>
    <col min="13326" max="13326" width="5" style="64" bestFit="1" customWidth="1"/>
    <col min="13327" max="13327" width="8" style="64" bestFit="1" customWidth="1"/>
    <col min="13328" max="13328" width="11.875" style="64" bestFit="1" customWidth="1"/>
    <col min="13329" max="13557" width="9" style="64"/>
    <col min="13558" max="13558" width="3.875" style="64" bestFit="1" customWidth="1"/>
    <col min="13559" max="13559" width="16" style="64" bestFit="1" customWidth="1"/>
    <col min="13560" max="13560" width="16.625" style="64" bestFit="1" customWidth="1"/>
    <col min="13561" max="13561" width="13.5" style="64" bestFit="1" customWidth="1"/>
    <col min="13562" max="13563" width="10.875" style="64" bestFit="1" customWidth="1"/>
    <col min="13564" max="13564" width="6.25" style="64" bestFit="1" customWidth="1"/>
    <col min="13565" max="13565" width="8.875" style="64" bestFit="1" customWidth="1"/>
    <col min="13566" max="13566" width="13.875" style="64" bestFit="1" customWidth="1"/>
    <col min="13567" max="13567" width="13.25" style="64" bestFit="1" customWidth="1"/>
    <col min="13568" max="13568" width="16" style="64" bestFit="1" customWidth="1"/>
    <col min="13569" max="13569" width="11.625" style="64" bestFit="1" customWidth="1"/>
    <col min="13570" max="13570" width="16.875" style="64" customWidth="1"/>
    <col min="13571" max="13571" width="13.25" style="64" customWidth="1"/>
    <col min="13572" max="13572" width="18.375" style="64" bestFit="1" customWidth="1"/>
    <col min="13573" max="13573" width="15" style="64" bestFit="1" customWidth="1"/>
    <col min="13574" max="13574" width="14.75" style="64" bestFit="1" customWidth="1"/>
    <col min="13575" max="13575" width="14.625" style="64" bestFit="1" customWidth="1"/>
    <col min="13576" max="13576" width="13.75" style="64" bestFit="1" customWidth="1"/>
    <col min="13577" max="13577" width="14.25" style="64" bestFit="1" customWidth="1"/>
    <col min="13578" max="13578" width="15.125" style="64" customWidth="1"/>
    <col min="13579" max="13579" width="20.5" style="64" bestFit="1" customWidth="1"/>
    <col min="13580" max="13580" width="27.875" style="64" bestFit="1" customWidth="1"/>
    <col min="13581" max="13581" width="6.875" style="64" bestFit="1" customWidth="1"/>
    <col min="13582" max="13582" width="5" style="64" bestFit="1" customWidth="1"/>
    <col min="13583" max="13583" width="8" style="64" bestFit="1" customWidth="1"/>
    <col min="13584" max="13584" width="11.875" style="64" bestFit="1" customWidth="1"/>
    <col min="13585" max="13813" width="9" style="64"/>
    <col min="13814" max="13814" width="3.875" style="64" bestFit="1" customWidth="1"/>
    <col min="13815" max="13815" width="16" style="64" bestFit="1" customWidth="1"/>
    <col min="13816" max="13816" width="16.625" style="64" bestFit="1" customWidth="1"/>
    <col min="13817" max="13817" width="13.5" style="64" bestFit="1" customWidth="1"/>
    <col min="13818" max="13819" width="10.875" style="64" bestFit="1" customWidth="1"/>
    <col min="13820" max="13820" width="6.25" style="64" bestFit="1" customWidth="1"/>
    <col min="13821" max="13821" width="8.875" style="64" bestFit="1" customWidth="1"/>
    <col min="13822" max="13822" width="13.875" style="64" bestFit="1" customWidth="1"/>
    <col min="13823" max="13823" width="13.25" style="64" bestFit="1" customWidth="1"/>
    <col min="13824" max="13824" width="16" style="64" bestFit="1" customWidth="1"/>
    <col min="13825" max="13825" width="11.625" style="64" bestFit="1" customWidth="1"/>
    <col min="13826" max="13826" width="16.875" style="64" customWidth="1"/>
    <col min="13827" max="13827" width="13.25" style="64" customWidth="1"/>
    <col min="13828" max="13828" width="18.375" style="64" bestFit="1" customWidth="1"/>
    <col min="13829" max="13829" width="15" style="64" bestFit="1" customWidth="1"/>
    <col min="13830" max="13830" width="14.75" style="64" bestFit="1" customWidth="1"/>
    <col min="13831" max="13831" width="14.625" style="64" bestFit="1" customWidth="1"/>
    <col min="13832" max="13832" width="13.75" style="64" bestFit="1" customWidth="1"/>
    <col min="13833" max="13833" width="14.25" style="64" bestFit="1" customWidth="1"/>
    <col min="13834" max="13834" width="15.125" style="64" customWidth="1"/>
    <col min="13835" max="13835" width="20.5" style="64" bestFit="1" customWidth="1"/>
    <col min="13836" max="13836" width="27.875" style="64" bestFit="1" customWidth="1"/>
    <col min="13837" max="13837" width="6.875" style="64" bestFit="1" customWidth="1"/>
    <col min="13838" max="13838" width="5" style="64" bestFit="1" customWidth="1"/>
    <col min="13839" max="13839" width="8" style="64" bestFit="1" customWidth="1"/>
    <col min="13840" max="13840" width="11.875" style="64" bestFit="1" customWidth="1"/>
    <col min="13841" max="14069" width="9" style="64"/>
    <col min="14070" max="14070" width="3.875" style="64" bestFit="1" customWidth="1"/>
    <col min="14071" max="14071" width="16" style="64" bestFit="1" customWidth="1"/>
    <col min="14072" max="14072" width="16.625" style="64" bestFit="1" customWidth="1"/>
    <col min="14073" max="14073" width="13.5" style="64" bestFit="1" customWidth="1"/>
    <col min="14074" max="14075" width="10.875" style="64" bestFit="1" customWidth="1"/>
    <col min="14076" max="14076" width="6.25" style="64" bestFit="1" customWidth="1"/>
    <col min="14077" max="14077" width="8.875" style="64" bestFit="1" customWidth="1"/>
    <col min="14078" max="14078" width="13.875" style="64" bestFit="1" customWidth="1"/>
    <col min="14079" max="14079" width="13.25" style="64" bestFit="1" customWidth="1"/>
    <col min="14080" max="14080" width="16" style="64" bestFit="1" customWidth="1"/>
    <col min="14081" max="14081" width="11.625" style="64" bestFit="1" customWidth="1"/>
    <col min="14082" max="14082" width="16.875" style="64" customWidth="1"/>
    <col min="14083" max="14083" width="13.25" style="64" customWidth="1"/>
    <col min="14084" max="14084" width="18.375" style="64" bestFit="1" customWidth="1"/>
    <col min="14085" max="14085" width="15" style="64" bestFit="1" customWidth="1"/>
    <col min="14086" max="14086" width="14.75" style="64" bestFit="1" customWidth="1"/>
    <col min="14087" max="14087" width="14.625" style="64" bestFit="1" customWidth="1"/>
    <col min="14088" max="14088" width="13.75" style="64" bestFit="1" customWidth="1"/>
    <col min="14089" max="14089" width="14.25" style="64" bestFit="1" customWidth="1"/>
    <col min="14090" max="14090" width="15.125" style="64" customWidth="1"/>
    <col min="14091" max="14091" width="20.5" style="64" bestFit="1" customWidth="1"/>
    <col min="14092" max="14092" width="27.875" style="64" bestFit="1" customWidth="1"/>
    <col min="14093" max="14093" width="6.875" style="64" bestFit="1" customWidth="1"/>
    <col min="14094" max="14094" width="5" style="64" bestFit="1" customWidth="1"/>
    <col min="14095" max="14095" width="8" style="64" bestFit="1" customWidth="1"/>
    <col min="14096" max="14096" width="11.875" style="64" bestFit="1" customWidth="1"/>
    <col min="14097" max="14325" width="9" style="64"/>
    <col min="14326" max="14326" width="3.875" style="64" bestFit="1" customWidth="1"/>
    <col min="14327" max="14327" width="16" style="64" bestFit="1" customWidth="1"/>
    <col min="14328" max="14328" width="16.625" style="64" bestFit="1" customWidth="1"/>
    <col min="14329" max="14329" width="13.5" style="64" bestFit="1" customWidth="1"/>
    <col min="14330" max="14331" width="10.875" style="64" bestFit="1" customWidth="1"/>
    <col min="14332" max="14332" width="6.25" style="64" bestFit="1" customWidth="1"/>
    <col min="14333" max="14333" width="8.875" style="64" bestFit="1" customWidth="1"/>
    <col min="14334" max="14334" width="13.875" style="64" bestFit="1" customWidth="1"/>
    <col min="14335" max="14335" width="13.25" style="64" bestFit="1" customWidth="1"/>
    <col min="14336" max="14336" width="16" style="64" bestFit="1" customWidth="1"/>
    <col min="14337" max="14337" width="11.625" style="64" bestFit="1" customWidth="1"/>
    <col min="14338" max="14338" width="16.875" style="64" customWidth="1"/>
    <col min="14339" max="14339" width="13.25" style="64" customWidth="1"/>
    <col min="14340" max="14340" width="18.375" style="64" bestFit="1" customWidth="1"/>
    <col min="14341" max="14341" width="15" style="64" bestFit="1" customWidth="1"/>
    <col min="14342" max="14342" width="14.75" style="64" bestFit="1" customWidth="1"/>
    <col min="14343" max="14343" width="14.625" style="64" bestFit="1" customWidth="1"/>
    <col min="14344" max="14344" width="13.75" style="64" bestFit="1" customWidth="1"/>
    <col min="14345" max="14345" width="14.25" style="64" bestFit="1" customWidth="1"/>
    <col min="14346" max="14346" width="15.125" style="64" customWidth="1"/>
    <col min="14347" max="14347" width="20.5" style="64" bestFit="1" customWidth="1"/>
    <col min="14348" max="14348" width="27.875" style="64" bestFit="1" customWidth="1"/>
    <col min="14349" max="14349" width="6.875" style="64" bestFit="1" customWidth="1"/>
    <col min="14350" max="14350" width="5" style="64" bestFit="1" customWidth="1"/>
    <col min="14351" max="14351" width="8" style="64" bestFit="1" customWidth="1"/>
    <col min="14352" max="14352" width="11.875" style="64" bestFit="1" customWidth="1"/>
    <col min="14353" max="14581" width="9" style="64"/>
    <col min="14582" max="14582" width="3.875" style="64" bestFit="1" customWidth="1"/>
    <col min="14583" max="14583" width="16" style="64" bestFit="1" customWidth="1"/>
    <col min="14584" max="14584" width="16.625" style="64" bestFit="1" customWidth="1"/>
    <col min="14585" max="14585" width="13.5" style="64" bestFit="1" customWidth="1"/>
    <col min="14586" max="14587" width="10.875" style="64" bestFit="1" customWidth="1"/>
    <col min="14588" max="14588" width="6.25" style="64" bestFit="1" customWidth="1"/>
    <col min="14589" max="14589" width="8.875" style="64" bestFit="1" customWidth="1"/>
    <col min="14590" max="14590" width="13.875" style="64" bestFit="1" customWidth="1"/>
    <col min="14591" max="14591" width="13.25" style="64" bestFit="1" customWidth="1"/>
    <col min="14592" max="14592" width="16" style="64" bestFit="1" customWidth="1"/>
    <col min="14593" max="14593" width="11.625" style="64" bestFit="1" customWidth="1"/>
    <col min="14594" max="14594" width="16.875" style="64" customWidth="1"/>
    <col min="14595" max="14595" width="13.25" style="64" customWidth="1"/>
    <col min="14596" max="14596" width="18.375" style="64" bestFit="1" customWidth="1"/>
    <col min="14597" max="14597" width="15" style="64" bestFit="1" customWidth="1"/>
    <col min="14598" max="14598" width="14.75" style="64" bestFit="1" customWidth="1"/>
    <col min="14599" max="14599" width="14.625" style="64" bestFit="1" customWidth="1"/>
    <col min="14600" max="14600" width="13.75" style="64" bestFit="1" customWidth="1"/>
    <col min="14601" max="14601" width="14.25" style="64" bestFit="1" customWidth="1"/>
    <col min="14602" max="14602" width="15.125" style="64" customWidth="1"/>
    <col min="14603" max="14603" width="20.5" style="64" bestFit="1" customWidth="1"/>
    <col min="14604" max="14604" width="27.875" style="64" bestFit="1" customWidth="1"/>
    <col min="14605" max="14605" width="6.875" style="64" bestFit="1" customWidth="1"/>
    <col min="14606" max="14606" width="5" style="64" bestFit="1" customWidth="1"/>
    <col min="14607" max="14607" width="8" style="64" bestFit="1" customWidth="1"/>
    <col min="14608" max="14608" width="11.875" style="64" bestFit="1" customWidth="1"/>
    <col min="14609" max="14837" width="9" style="64"/>
    <col min="14838" max="14838" width="3.875" style="64" bestFit="1" customWidth="1"/>
    <col min="14839" max="14839" width="16" style="64" bestFit="1" customWidth="1"/>
    <col min="14840" max="14840" width="16.625" style="64" bestFit="1" customWidth="1"/>
    <col min="14841" max="14841" width="13.5" style="64" bestFit="1" customWidth="1"/>
    <col min="14842" max="14843" width="10.875" style="64" bestFit="1" customWidth="1"/>
    <col min="14844" max="14844" width="6.25" style="64" bestFit="1" customWidth="1"/>
    <col min="14845" max="14845" width="8.875" style="64" bestFit="1" customWidth="1"/>
    <col min="14846" max="14846" width="13.875" style="64" bestFit="1" customWidth="1"/>
    <col min="14847" max="14847" width="13.25" style="64" bestFit="1" customWidth="1"/>
    <col min="14848" max="14848" width="16" style="64" bestFit="1" customWidth="1"/>
    <col min="14849" max="14849" width="11.625" style="64" bestFit="1" customWidth="1"/>
    <col min="14850" max="14850" width="16.875" style="64" customWidth="1"/>
    <col min="14851" max="14851" width="13.25" style="64" customWidth="1"/>
    <col min="14852" max="14852" width="18.375" style="64" bestFit="1" customWidth="1"/>
    <col min="14853" max="14853" width="15" style="64" bestFit="1" customWidth="1"/>
    <col min="14854" max="14854" width="14.75" style="64" bestFit="1" customWidth="1"/>
    <col min="14855" max="14855" width="14.625" style="64" bestFit="1" customWidth="1"/>
    <col min="14856" max="14856" width="13.75" style="64" bestFit="1" customWidth="1"/>
    <col min="14857" max="14857" width="14.25" style="64" bestFit="1" customWidth="1"/>
    <col min="14858" max="14858" width="15.125" style="64" customWidth="1"/>
    <col min="14859" max="14859" width="20.5" style="64" bestFit="1" customWidth="1"/>
    <col min="14860" max="14860" width="27.875" style="64" bestFit="1" customWidth="1"/>
    <col min="14861" max="14861" width="6.875" style="64" bestFit="1" customWidth="1"/>
    <col min="14862" max="14862" width="5" style="64" bestFit="1" customWidth="1"/>
    <col min="14863" max="14863" width="8" style="64" bestFit="1" customWidth="1"/>
    <col min="14864" max="14864" width="11.875" style="64" bestFit="1" customWidth="1"/>
    <col min="14865" max="15093" width="9" style="64"/>
    <col min="15094" max="15094" width="3.875" style="64" bestFit="1" customWidth="1"/>
    <col min="15095" max="15095" width="16" style="64" bestFit="1" customWidth="1"/>
    <col min="15096" max="15096" width="16.625" style="64" bestFit="1" customWidth="1"/>
    <col min="15097" max="15097" width="13.5" style="64" bestFit="1" customWidth="1"/>
    <col min="15098" max="15099" width="10.875" style="64" bestFit="1" customWidth="1"/>
    <col min="15100" max="15100" width="6.25" style="64" bestFit="1" customWidth="1"/>
    <col min="15101" max="15101" width="8.875" style="64" bestFit="1" customWidth="1"/>
    <col min="15102" max="15102" width="13.875" style="64" bestFit="1" customWidth="1"/>
    <col min="15103" max="15103" width="13.25" style="64" bestFit="1" customWidth="1"/>
    <col min="15104" max="15104" width="16" style="64" bestFit="1" customWidth="1"/>
    <col min="15105" max="15105" width="11.625" style="64" bestFit="1" customWidth="1"/>
    <col min="15106" max="15106" width="16.875" style="64" customWidth="1"/>
    <col min="15107" max="15107" width="13.25" style="64" customWidth="1"/>
    <col min="15108" max="15108" width="18.375" style="64" bestFit="1" customWidth="1"/>
    <col min="15109" max="15109" width="15" style="64" bestFit="1" customWidth="1"/>
    <col min="15110" max="15110" width="14.75" style="64" bestFit="1" customWidth="1"/>
    <col min="15111" max="15111" width="14.625" style="64" bestFit="1" customWidth="1"/>
    <col min="15112" max="15112" width="13.75" style="64" bestFit="1" customWidth="1"/>
    <col min="15113" max="15113" width="14.25" style="64" bestFit="1" customWidth="1"/>
    <col min="15114" max="15114" width="15.125" style="64" customWidth="1"/>
    <col min="15115" max="15115" width="20.5" style="64" bestFit="1" customWidth="1"/>
    <col min="15116" max="15116" width="27.875" style="64" bestFit="1" customWidth="1"/>
    <col min="15117" max="15117" width="6.875" style="64" bestFit="1" customWidth="1"/>
    <col min="15118" max="15118" width="5" style="64" bestFit="1" customWidth="1"/>
    <col min="15119" max="15119" width="8" style="64" bestFit="1" customWidth="1"/>
    <col min="15120" max="15120" width="11.875" style="64" bestFit="1" customWidth="1"/>
    <col min="15121" max="15349" width="9" style="64"/>
    <col min="15350" max="15350" width="3.875" style="64" bestFit="1" customWidth="1"/>
    <col min="15351" max="15351" width="16" style="64" bestFit="1" customWidth="1"/>
    <col min="15352" max="15352" width="16.625" style="64" bestFit="1" customWidth="1"/>
    <col min="15353" max="15353" width="13.5" style="64" bestFit="1" customWidth="1"/>
    <col min="15354" max="15355" width="10.875" style="64" bestFit="1" customWidth="1"/>
    <col min="15356" max="15356" width="6.25" style="64" bestFit="1" customWidth="1"/>
    <col min="15357" max="15357" width="8.875" style="64" bestFit="1" customWidth="1"/>
    <col min="15358" max="15358" width="13.875" style="64" bestFit="1" customWidth="1"/>
    <col min="15359" max="15359" width="13.25" style="64" bestFit="1" customWidth="1"/>
    <col min="15360" max="15360" width="16" style="64" bestFit="1" customWidth="1"/>
    <col min="15361" max="15361" width="11.625" style="64" bestFit="1" customWidth="1"/>
    <col min="15362" max="15362" width="16.875" style="64" customWidth="1"/>
    <col min="15363" max="15363" width="13.25" style="64" customWidth="1"/>
    <col min="15364" max="15364" width="18.375" style="64" bestFit="1" customWidth="1"/>
    <col min="15365" max="15365" width="15" style="64" bestFit="1" customWidth="1"/>
    <col min="15366" max="15366" width="14.75" style="64" bestFit="1" customWidth="1"/>
    <col min="15367" max="15367" width="14.625" style="64" bestFit="1" customWidth="1"/>
    <col min="15368" max="15368" width="13.75" style="64" bestFit="1" customWidth="1"/>
    <col min="15369" max="15369" width="14.25" style="64" bestFit="1" customWidth="1"/>
    <col min="15370" max="15370" width="15.125" style="64" customWidth="1"/>
    <col min="15371" max="15371" width="20.5" style="64" bestFit="1" customWidth="1"/>
    <col min="15372" max="15372" width="27.875" style="64" bestFit="1" customWidth="1"/>
    <col min="15373" max="15373" width="6.875" style="64" bestFit="1" customWidth="1"/>
    <col min="15374" max="15374" width="5" style="64" bestFit="1" customWidth="1"/>
    <col min="15375" max="15375" width="8" style="64" bestFit="1" customWidth="1"/>
    <col min="15376" max="15376" width="11.875" style="64" bestFit="1" customWidth="1"/>
    <col min="15377" max="15605" width="9" style="64"/>
    <col min="15606" max="15606" width="3.875" style="64" bestFit="1" customWidth="1"/>
    <col min="15607" max="15607" width="16" style="64" bestFit="1" customWidth="1"/>
    <col min="15608" max="15608" width="16.625" style="64" bestFit="1" customWidth="1"/>
    <col min="15609" max="15609" width="13.5" style="64" bestFit="1" customWidth="1"/>
    <col min="15610" max="15611" width="10.875" style="64" bestFit="1" customWidth="1"/>
    <col min="15612" max="15612" width="6.25" style="64" bestFit="1" customWidth="1"/>
    <col min="15613" max="15613" width="8.875" style="64" bestFit="1" customWidth="1"/>
    <col min="15614" max="15614" width="13.875" style="64" bestFit="1" customWidth="1"/>
    <col min="15615" max="15615" width="13.25" style="64" bestFit="1" customWidth="1"/>
    <col min="15616" max="15616" width="16" style="64" bestFit="1" customWidth="1"/>
    <col min="15617" max="15617" width="11.625" style="64" bestFit="1" customWidth="1"/>
    <col min="15618" max="15618" width="16.875" style="64" customWidth="1"/>
    <col min="15619" max="15619" width="13.25" style="64" customWidth="1"/>
    <col min="15620" max="15620" width="18.375" style="64" bestFit="1" customWidth="1"/>
    <col min="15621" max="15621" width="15" style="64" bestFit="1" customWidth="1"/>
    <col min="15622" max="15622" width="14.75" style="64" bestFit="1" customWidth="1"/>
    <col min="15623" max="15623" width="14.625" style="64" bestFit="1" customWidth="1"/>
    <col min="15624" max="15624" width="13.75" style="64" bestFit="1" customWidth="1"/>
    <col min="15625" max="15625" width="14.25" style="64" bestFit="1" customWidth="1"/>
    <col min="15626" max="15626" width="15.125" style="64" customWidth="1"/>
    <col min="15627" max="15627" width="20.5" style="64" bestFit="1" customWidth="1"/>
    <col min="15628" max="15628" width="27.875" style="64" bestFit="1" customWidth="1"/>
    <col min="15629" max="15629" width="6.875" style="64" bestFit="1" customWidth="1"/>
    <col min="15630" max="15630" width="5" style="64" bestFit="1" customWidth="1"/>
    <col min="15631" max="15631" width="8" style="64" bestFit="1" customWidth="1"/>
    <col min="15632" max="15632" width="11.875" style="64" bestFit="1" customWidth="1"/>
    <col min="15633" max="15861" width="9" style="64"/>
    <col min="15862" max="15862" width="3.875" style="64" bestFit="1" customWidth="1"/>
    <col min="15863" max="15863" width="16" style="64" bestFit="1" customWidth="1"/>
    <col min="15864" max="15864" width="16.625" style="64" bestFit="1" customWidth="1"/>
    <col min="15865" max="15865" width="13.5" style="64" bestFit="1" customWidth="1"/>
    <col min="15866" max="15867" width="10.875" style="64" bestFit="1" customWidth="1"/>
    <col min="15868" max="15868" width="6.25" style="64" bestFit="1" customWidth="1"/>
    <col min="15869" max="15869" width="8.875" style="64" bestFit="1" customWidth="1"/>
    <col min="15870" max="15870" width="13.875" style="64" bestFit="1" customWidth="1"/>
    <col min="15871" max="15871" width="13.25" style="64" bestFit="1" customWidth="1"/>
    <col min="15872" max="15872" width="16" style="64" bestFit="1" customWidth="1"/>
    <col min="15873" max="15873" width="11.625" style="64" bestFit="1" customWidth="1"/>
    <col min="15874" max="15874" width="16.875" style="64" customWidth="1"/>
    <col min="15875" max="15875" width="13.25" style="64" customWidth="1"/>
    <col min="15876" max="15876" width="18.375" style="64" bestFit="1" customWidth="1"/>
    <col min="15877" max="15877" width="15" style="64" bestFit="1" customWidth="1"/>
    <col min="15878" max="15878" width="14.75" style="64" bestFit="1" customWidth="1"/>
    <col min="15879" max="15879" width="14.625" style="64" bestFit="1" customWidth="1"/>
    <col min="15880" max="15880" width="13.75" style="64" bestFit="1" customWidth="1"/>
    <col min="15881" max="15881" width="14.25" style="64" bestFit="1" customWidth="1"/>
    <col min="15882" max="15882" width="15.125" style="64" customWidth="1"/>
    <col min="15883" max="15883" width="20.5" style="64" bestFit="1" customWidth="1"/>
    <col min="15884" max="15884" width="27.875" style="64" bestFit="1" customWidth="1"/>
    <col min="15885" max="15885" width="6.875" style="64" bestFit="1" customWidth="1"/>
    <col min="15886" max="15886" width="5" style="64" bestFit="1" customWidth="1"/>
    <col min="15887" max="15887" width="8" style="64" bestFit="1" customWidth="1"/>
    <col min="15888" max="15888" width="11.875" style="64" bestFit="1" customWidth="1"/>
    <col min="15889" max="16117" width="9" style="64"/>
    <col min="16118" max="16118" width="3.875" style="64" bestFit="1" customWidth="1"/>
    <col min="16119" max="16119" width="16" style="64" bestFit="1" customWidth="1"/>
    <col min="16120" max="16120" width="16.625" style="64" bestFit="1" customWidth="1"/>
    <col min="16121" max="16121" width="13.5" style="64" bestFit="1" customWidth="1"/>
    <col min="16122" max="16123" width="10.875" style="64" bestFit="1" customWidth="1"/>
    <col min="16124" max="16124" width="6.25" style="64" bestFit="1" customWidth="1"/>
    <col min="16125" max="16125" width="8.875" style="64" bestFit="1" customWidth="1"/>
    <col min="16126" max="16126" width="13.875" style="64" bestFit="1" customWidth="1"/>
    <col min="16127" max="16127" width="13.25" style="64" bestFit="1" customWidth="1"/>
    <col min="16128" max="16128" width="16" style="64" bestFit="1" customWidth="1"/>
    <col min="16129" max="16129" width="11.625" style="64" bestFit="1" customWidth="1"/>
    <col min="16130" max="16130" width="16.875" style="64" customWidth="1"/>
    <col min="16131" max="16131" width="13.25" style="64" customWidth="1"/>
    <col min="16132" max="16132" width="18.375" style="64" bestFit="1" customWidth="1"/>
    <col min="16133" max="16133" width="15" style="64" bestFit="1" customWidth="1"/>
    <col min="16134" max="16134" width="14.75" style="64" bestFit="1" customWidth="1"/>
    <col min="16135" max="16135" width="14.625" style="64" bestFit="1" customWidth="1"/>
    <col min="16136" max="16136" width="13.75" style="64" bestFit="1" customWidth="1"/>
    <col min="16137" max="16137" width="14.25" style="64" bestFit="1" customWidth="1"/>
    <col min="16138" max="16138" width="15.125" style="64" customWidth="1"/>
    <col min="16139" max="16139" width="20.5" style="64" bestFit="1" customWidth="1"/>
    <col min="16140" max="16140" width="27.875" style="64" bestFit="1" customWidth="1"/>
    <col min="16141" max="16141" width="6.875" style="64" bestFit="1" customWidth="1"/>
    <col min="16142" max="16142" width="5" style="64" bestFit="1" customWidth="1"/>
    <col min="16143" max="16143" width="8" style="64" bestFit="1" customWidth="1"/>
    <col min="16144" max="16144" width="11.875" style="64" bestFit="1" customWidth="1"/>
    <col min="16145" max="16384" width="9" style="64"/>
  </cols>
  <sheetData>
    <row r="1" spans="1:26" ht="18.75" x14ac:dyDescent="0.25">
      <c r="L1" s="16" t="s">
        <v>377</v>
      </c>
    </row>
    <row r="2" spans="1:26" ht="18.75" x14ac:dyDescent="0.3">
      <c r="L2" s="11" t="s">
        <v>1</v>
      </c>
    </row>
    <row r="3" spans="1:26" ht="18.75" x14ac:dyDescent="0.3">
      <c r="L3" s="11" t="s">
        <v>265</v>
      </c>
    </row>
    <row r="4" spans="1:26" s="73" customFormat="1" ht="16.5" x14ac:dyDescent="0.25">
      <c r="A4" s="1284" t="s">
        <v>405</v>
      </c>
      <c r="B4" s="1284"/>
      <c r="C4" s="1284"/>
      <c r="D4" s="1284"/>
      <c r="E4" s="1284"/>
      <c r="F4" s="1284"/>
      <c r="G4" s="1284"/>
      <c r="H4" s="1284"/>
      <c r="I4" s="1284"/>
      <c r="J4" s="1284"/>
      <c r="K4" s="1284"/>
      <c r="L4" s="1284"/>
      <c r="M4" s="6"/>
      <c r="N4" s="6"/>
      <c r="O4" s="6"/>
      <c r="P4" s="6"/>
      <c r="Q4" s="6"/>
      <c r="R4" s="6"/>
    </row>
    <row r="5" spans="1:26" s="73" customFormat="1" ht="16.5" x14ac:dyDescent="0.25">
      <c r="A5" s="79"/>
      <c r="B5" s="79"/>
      <c r="C5" s="79"/>
      <c r="D5" s="79"/>
      <c r="E5" s="79"/>
      <c r="F5" s="79"/>
      <c r="G5" s="79"/>
      <c r="H5" s="79"/>
      <c r="I5" s="79"/>
      <c r="J5" s="79"/>
      <c r="K5" s="79"/>
      <c r="L5" s="79"/>
      <c r="M5" s="6"/>
      <c r="N5" s="6"/>
      <c r="O5" s="6"/>
      <c r="P5" s="6"/>
      <c r="Q5" s="6"/>
      <c r="R5" s="6"/>
    </row>
    <row r="6" spans="1:26" ht="15.75" x14ac:dyDescent="0.25">
      <c r="A6" s="1281" t="s">
        <v>810</v>
      </c>
      <c r="B6" s="1281"/>
      <c r="C6" s="1281"/>
      <c r="D6" s="1281"/>
      <c r="E6" s="1281"/>
      <c r="F6" s="1281"/>
      <c r="G6" s="1281"/>
      <c r="H6" s="1281"/>
      <c r="I6" s="1281"/>
      <c r="J6" s="1281"/>
      <c r="K6" s="1281"/>
      <c r="L6" s="1281"/>
      <c r="M6" s="68"/>
      <c r="N6" s="68"/>
      <c r="O6" s="68"/>
      <c r="P6" s="68"/>
      <c r="Q6" s="68"/>
      <c r="R6" s="68"/>
      <c r="S6" s="68"/>
      <c r="T6" s="68"/>
      <c r="U6" s="68"/>
      <c r="V6" s="68"/>
      <c r="W6" s="68"/>
      <c r="X6" s="68"/>
      <c r="Y6" s="68"/>
    </row>
    <row r="7" spans="1:26" ht="15.75" x14ac:dyDescent="0.25">
      <c r="A7" s="1282" t="s">
        <v>334</v>
      </c>
      <c r="B7" s="1282"/>
      <c r="C7" s="1282"/>
      <c r="D7" s="1282"/>
      <c r="E7" s="1282"/>
      <c r="F7" s="1282"/>
      <c r="G7" s="1282"/>
      <c r="H7" s="1282"/>
      <c r="I7" s="1282"/>
      <c r="J7" s="1282"/>
      <c r="K7" s="1282"/>
      <c r="L7" s="1282"/>
      <c r="M7" s="66"/>
      <c r="N7" s="66"/>
      <c r="O7" s="66"/>
      <c r="P7" s="66"/>
      <c r="Q7" s="66"/>
      <c r="R7" s="66"/>
      <c r="S7" s="66"/>
      <c r="T7" s="66"/>
      <c r="U7" s="66"/>
      <c r="V7" s="66"/>
      <c r="W7" s="66"/>
      <c r="X7" s="66"/>
      <c r="Y7" s="66"/>
    </row>
    <row r="8" spans="1:26" ht="15.75" x14ac:dyDescent="0.25">
      <c r="A8" s="1282"/>
      <c r="B8" s="1282"/>
      <c r="C8" s="1282"/>
      <c r="D8" s="1282"/>
      <c r="E8" s="1282"/>
      <c r="F8" s="1282"/>
      <c r="G8" s="1282"/>
      <c r="H8" s="1282"/>
      <c r="I8" s="1282"/>
      <c r="J8" s="1282"/>
      <c r="K8" s="1282"/>
      <c r="L8" s="1282"/>
      <c r="M8" s="66"/>
      <c r="N8" s="66"/>
      <c r="O8" s="66"/>
      <c r="P8" s="66"/>
      <c r="Q8" s="66"/>
      <c r="R8" s="66"/>
      <c r="S8" s="66"/>
      <c r="T8" s="66"/>
      <c r="U8" s="66"/>
      <c r="V8" s="66"/>
      <c r="W8" s="66"/>
      <c r="X8" s="66"/>
      <c r="Y8" s="66"/>
    </row>
    <row r="9" spans="1:26" ht="16.5" x14ac:dyDescent="0.25">
      <c r="A9" s="1342" t="s">
        <v>54</v>
      </c>
      <c r="B9" s="1342"/>
      <c r="C9" s="1342"/>
      <c r="D9" s="1342"/>
      <c r="E9" s="1342"/>
      <c r="F9" s="1342"/>
      <c r="G9" s="1342"/>
      <c r="H9" s="1342"/>
      <c r="I9" s="1342"/>
      <c r="J9" s="1342"/>
      <c r="K9" s="1342"/>
      <c r="L9" s="1342"/>
      <c r="M9" s="10"/>
      <c r="N9" s="10"/>
      <c r="O9" s="10"/>
      <c r="P9" s="10"/>
      <c r="Q9" s="10"/>
      <c r="R9" s="10"/>
      <c r="S9" s="10"/>
      <c r="T9" s="10"/>
      <c r="U9" s="10"/>
      <c r="V9" s="10"/>
      <c r="W9" s="10"/>
      <c r="X9" s="10"/>
      <c r="Y9" s="10"/>
    </row>
    <row r="10" spans="1:26" s="8" customFormat="1" ht="16.5" customHeight="1" x14ac:dyDescent="0.2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64"/>
      <c r="Z10" s="64"/>
    </row>
    <row r="11" spans="1:26" s="8" customFormat="1" ht="63" customHeight="1" x14ac:dyDescent="0.25">
      <c r="A11" s="1272" t="s">
        <v>179</v>
      </c>
      <c r="B11" s="1272" t="s">
        <v>31</v>
      </c>
      <c r="C11" s="1272" t="s">
        <v>4</v>
      </c>
      <c r="D11" s="1337" t="s">
        <v>362</v>
      </c>
      <c r="E11" s="1338"/>
      <c r="F11" s="1339"/>
      <c r="G11" s="1272" t="s">
        <v>365</v>
      </c>
      <c r="H11" s="1255" t="s">
        <v>368</v>
      </c>
      <c r="I11" s="1255"/>
      <c r="J11" s="1255"/>
      <c r="K11" s="1255"/>
      <c r="L11" s="1255"/>
      <c r="M11" s="1263" t="s">
        <v>516</v>
      </c>
      <c r="N11" s="1263"/>
      <c r="O11" s="1263"/>
      <c r="P11" s="1263"/>
      <c r="Q11" s="1264" t="s">
        <v>373</v>
      </c>
      <c r="R11" s="1260" t="s">
        <v>387</v>
      </c>
      <c r="S11" s="1263" t="s">
        <v>388</v>
      </c>
      <c r="T11" s="1263"/>
      <c r="U11" s="1263"/>
      <c r="V11" s="1263"/>
      <c r="W11" s="1257" t="s">
        <v>358</v>
      </c>
      <c r="X11" s="1259"/>
      <c r="Y11" s="1255" t="s">
        <v>391</v>
      </c>
      <c r="Z11" s="64"/>
    </row>
    <row r="12" spans="1:26" s="8" customFormat="1" ht="213.75" customHeight="1" x14ac:dyDescent="0.25">
      <c r="A12" s="1273"/>
      <c r="B12" s="1273"/>
      <c r="C12" s="1273"/>
      <c r="D12" s="1255" t="s">
        <v>364</v>
      </c>
      <c r="E12" s="1255"/>
      <c r="F12" s="1255" t="s">
        <v>389</v>
      </c>
      <c r="G12" s="1273"/>
      <c r="H12" s="1272" t="s">
        <v>366</v>
      </c>
      <c r="I12" s="1255" t="s">
        <v>359</v>
      </c>
      <c r="J12" s="1255"/>
      <c r="K12" s="1272" t="s">
        <v>367</v>
      </c>
      <c r="L12" s="1272" t="s">
        <v>369</v>
      </c>
      <c r="M12" s="1260" t="s">
        <v>370</v>
      </c>
      <c r="N12" s="1260" t="s">
        <v>371</v>
      </c>
      <c r="O12" s="1256" t="s">
        <v>386</v>
      </c>
      <c r="P12" s="1256"/>
      <c r="Q12" s="1265"/>
      <c r="R12" s="1262"/>
      <c r="S12" s="1275" t="s">
        <v>374</v>
      </c>
      <c r="T12" s="1275"/>
      <c r="U12" s="1267" t="s">
        <v>376</v>
      </c>
      <c r="V12" s="1267"/>
      <c r="W12" s="1340" t="s">
        <v>521</v>
      </c>
      <c r="X12" s="1263" t="s">
        <v>360</v>
      </c>
      <c r="Y12" s="1255"/>
      <c r="Z12" s="64"/>
    </row>
    <row r="13" spans="1:26" s="8" customFormat="1" ht="43.5" customHeight="1" x14ac:dyDescent="0.25">
      <c r="A13" s="1274"/>
      <c r="B13" s="1274"/>
      <c r="C13" s="1274"/>
      <c r="D13" s="80" t="s">
        <v>92</v>
      </c>
      <c r="E13" s="80" t="s">
        <v>93</v>
      </c>
      <c r="F13" s="1255"/>
      <c r="G13" s="1274"/>
      <c r="H13" s="1274"/>
      <c r="I13" s="81" t="s">
        <v>69</v>
      </c>
      <c r="J13" s="81" t="s">
        <v>70</v>
      </c>
      <c r="K13" s="1274"/>
      <c r="L13" s="1274"/>
      <c r="M13" s="1261"/>
      <c r="N13" s="1261"/>
      <c r="O13" s="24" t="s">
        <v>34</v>
      </c>
      <c r="P13" s="24" t="s">
        <v>35</v>
      </c>
      <c r="Q13" s="1266"/>
      <c r="R13" s="1261"/>
      <c r="S13" s="60" t="s">
        <v>36</v>
      </c>
      <c r="T13" s="60" t="s">
        <v>37</v>
      </c>
      <c r="U13" s="60" t="s">
        <v>36</v>
      </c>
      <c r="V13" s="60" t="s">
        <v>37</v>
      </c>
      <c r="W13" s="1341"/>
      <c r="X13" s="1263"/>
      <c r="Y13" s="1255"/>
      <c r="Z13" s="64"/>
    </row>
    <row r="14" spans="1:26" s="8" customFormat="1" ht="15" customHeight="1" x14ac:dyDescent="0.25">
      <c r="A14" s="28">
        <v>1</v>
      </c>
      <c r="B14" s="28">
        <v>2</v>
      </c>
      <c r="C14" s="28">
        <v>3</v>
      </c>
      <c r="D14" s="28">
        <v>4</v>
      </c>
      <c r="E14" s="28">
        <v>5</v>
      </c>
      <c r="F14" s="28">
        <v>6</v>
      </c>
      <c r="G14" s="28">
        <v>7</v>
      </c>
      <c r="H14" s="28">
        <v>8</v>
      </c>
      <c r="I14" s="28">
        <v>9</v>
      </c>
      <c r="J14" s="28">
        <v>10</v>
      </c>
      <c r="K14" s="28">
        <v>11</v>
      </c>
      <c r="L14" s="28">
        <v>12</v>
      </c>
      <c r="M14" s="28">
        <v>13</v>
      </c>
      <c r="N14" s="28">
        <v>14</v>
      </c>
      <c r="O14" s="28">
        <v>15</v>
      </c>
      <c r="P14" s="28">
        <v>16</v>
      </c>
      <c r="Q14" s="28">
        <v>17</v>
      </c>
      <c r="R14" s="28">
        <v>18</v>
      </c>
      <c r="S14" s="28">
        <v>19</v>
      </c>
      <c r="T14" s="28">
        <v>20</v>
      </c>
      <c r="U14" s="28">
        <v>21</v>
      </c>
      <c r="V14" s="28">
        <v>22</v>
      </c>
      <c r="W14" s="28">
        <v>23</v>
      </c>
      <c r="X14" s="28">
        <v>24</v>
      </c>
      <c r="Y14" s="28">
        <v>25</v>
      </c>
      <c r="Z14" s="64"/>
    </row>
    <row r="15" spans="1:26" ht="15.75" x14ac:dyDescent="0.25">
      <c r="A15" s="29"/>
      <c r="B15" s="62"/>
      <c r="C15" s="51"/>
      <c r="D15" s="51"/>
      <c r="E15" s="51"/>
      <c r="F15" s="51"/>
      <c r="G15" s="51"/>
      <c r="H15" s="51"/>
      <c r="I15" s="51"/>
      <c r="J15" s="51"/>
      <c r="K15" s="51"/>
      <c r="L15" s="51"/>
      <c r="M15" s="51"/>
      <c r="N15" s="51"/>
      <c r="O15" s="51"/>
      <c r="P15" s="51"/>
      <c r="Q15" s="51"/>
      <c r="R15" s="51"/>
      <c r="S15" s="51"/>
      <c r="T15" s="51"/>
      <c r="U15" s="51"/>
      <c r="V15" s="51"/>
      <c r="W15" s="50"/>
      <c r="X15" s="50"/>
      <c r="Y15" s="50"/>
    </row>
    <row r="16" spans="1:26" ht="15.75" x14ac:dyDescent="0.25">
      <c r="A16" s="29"/>
      <c r="B16" s="72"/>
    </row>
  </sheetData>
  <mergeCells count="31">
    <mergeCell ref="A4:L4"/>
    <mergeCell ref="A9:L9"/>
    <mergeCell ref="A6:L6"/>
    <mergeCell ref="A7:L7"/>
    <mergeCell ref="A8:L8"/>
    <mergeCell ref="M12:M13"/>
    <mergeCell ref="N12:N13"/>
    <mergeCell ref="O12:P12"/>
    <mergeCell ref="R11:R13"/>
    <mergeCell ref="Y11:Y13"/>
    <mergeCell ref="S12:T12"/>
    <mergeCell ref="U12:V12"/>
    <mergeCell ref="X12:X13"/>
    <mergeCell ref="W12:W13"/>
    <mergeCell ref="S11:V1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s>
  <pageMargins left="0.70866141732283472" right="0.70866141732283472" top="0.74803149606299213" bottom="0.74803149606299213" header="0.31496062992125984" footer="0.31496062992125984"/>
  <pageSetup paperSize="8" scale="69" fitToWidth="2" orientation="landscape" r:id="rId1"/>
  <headerFooter differentFirst="1">
    <oddHeader>&amp;C&amp;P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
  <sheetViews>
    <sheetView view="pageBreakPreview" zoomScale="90" zoomScaleNormal="100" zoomScaleSheetLayoutView="90" workbookViewId="0">
      <selection activeCell="J26" sqref="J26"/>
    </sheetView>
  </sheetViews>
  <sheetFormatPr defaultRowHeight="15" x14ac:dyDescent="0.25"/>
  <cols>
    <col min="1" max="1" width="10.25" style="21" customWidth="1"/>
    <col min="2" max="2" width="21.75" style="21" customWidth="1"/>
    <col min="3" max="3" width="15.75" style="21" customWidth="1"/>
    <col min="4" max="4" width="20.5" style="21" customWidth="1"/>
    <col min="5" max="5" width="11.75" style="21" customWidth="1"/>
    <col min="6" max="6" width="11.125" style="21" customWidth="1"/>
    <col min="7" max="7" width="16.125" style="21" customWidth="1"/>
    <col min="8" max="8" width="17.25" style="21" customWidth="1"/>
    <col min="9" max="9" width="21.125" style="21" customWidth="1"/>
    <col min="10" max="10" width="19.875" style="21" customWidth="1"/>
    <col min="11" max="11" width="15.5" style="21" customWidth="1"/>
    <col min="12" max="12" width="15" style="21" customWidth="1"/>
    <col min="13" max="13" width="14.375" style="21" customWidth="1"/>
    <col min="14" max="14" width="24.5" style="21" customWidth="1"/>
    <col min="15" max="16" width="19.875" style="21" customWidth="1"/>
    <col min="17" max="17" width="14.25" style="6" customWidth="1"/>
    <col min="18" max="18" width="8.625" style="64" customWidth="1"/>
    <col min="19" max="19" width="6.75" style="64" customWidth="1"/>
    <col min="20" max="21" width="9.5" style="64" customWidth="1"/>
    <col min="22" max="22" width="14.5" style="21" customWidth="1"/>
    <col min="23" max="23" width="13.25" style="21" customWidth="1"/>
    <col min="24" max="24" width="13.125" style="21" customWidth="1"/>
    <col min="25" max="16384" width="9" style="21"/>
  </cols>
  <sheetData>
    <row r="1" spans="1:29" s="19" customFormat="1" ht="18.75" customHeight="1" x14ac:dyDescent="0.25">
      <c r="A1" s="18"/>
      <c r="Q1" s="6"/>
      <c r="R1" s="64"/>
      <c r="S1" s="64"/>
      <c r="T1" s="64"/>
      <c r="X1" s="16" t="s">
        <v>381</v>
      </c>
    </row>
    <row r="2" spans="1:29" s="19" customFormat="1" ht="18.75" customHeight="1" x14ac:dyDescent="0.3">
      <c r="A2" s="18"/>
      <c r="Q2" s="6"/>
      <c r="R2" s="64"/>
      <c r="S2" s="64"/>
      <c r="T2" s="64"/>
      <c r="X2" s="11" t="s">
        <v>1</v>
      </c>
    </row>
    <row r="3" spans="1:29" s="19" customFormat="1" ht="18.75" x14ac:dyDescent="0.3">
      <c r="A3" s="65"/>
      <c r="Q3" s="6"/>
      <c r="R3" s="64"/>
      <c r="S3" s="64"/>
      <c r="T3" s="64"/>
      <c r="X3" s="11" t="s">
        <v>49</v>
      </c>
    </row>
    <row r="4" spans="1:29" s="19" customFormat="1" ht="16.5" x14ac:dyDescent="0.25">
      <c r="A4" s="1284" t="s">
        <v>406</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row>
    <row r="5" spans="1:29" s="19" customFormat="1" ht="15.75" x14ac:dyDescent="0.2">
      <c r="A5" s="1343"/>
      <c r="B5" s="1343"/>
      <c r="C5" s="1343"/>
      <c r="D5" s="1343"/>
      <c r="E5" s="1343"/>
      <c r="F5" s="1343"/>
      <c r="G5" s="1343"/>
      <c r="H5" s="1343"/>
      <c r="I5" s="1343"/>
      <c r="J5" s="1343"/>
      <c r="K5" s="1343"/>
      <c r="L5" s="1343"/>
      <c r="M5" s="1343"/>
      <c r="N5" s="1343"/>
      <c r="O5" s="1343"/>
      <c r="P5" s="1343"/>
      <c r="Q5" s="1343"/>
      <c r="R5" s="1343"/>
      <c r="S5" s="1343"/>
      <c r="T5" s="1343"/>
      <c r="U5" s="1343"/>
      <c r="V5" s="1343"/>
      <c r="W5" s="1343"/>
      <c r="X5" s="1343"/>
    </row>
    <row r="6" spans="1:29" s="19" customFormat="1" ht="15.75" x14ac:dyDescent="0.2">
      <c r="A6" s="1281" t="s">
        <v>810</v>
      </c>
      <c r="B6" s="1281"/>
      <c r="C6" s="1281"/>
      <c r="D6" s="1281"/>
      <c r="E6" s="1281"/>
      <c r="F6" s="1281"/>
      <c r="G6" s="1281"/>
      <c r="H6" s="1281"/>
      <c r="I6" s="1281"/>
      <c r="J6" s="1281"/>
      <c r="K6" s="1281"/>
      <c r="L6" s="1281"/>
      <c r="M6" s="1281"/>
      <c r="N6" s="1281"/>
      <c r="O6" s="1281"/>
      <c r="P6" s="1281"/>
      <c r="Q6" s="1281"/>
      <c r="R6" s="1281"/>
      <c r="S6" s="1281"/>
      <c r="T6" s="1281"/>
      <c r="U6" s="1281"/>
      <c r="V6" s="1281"/>
      <c r="W6" s="1281"/>
      <c r="X6" s="1281"/>
      <c r="Y6" s="68"/>
      <c r="Z6" s="68"/>
      <c r="AA6" s="68"/>
      <c r="AB6" s="68"/>
      <c r="AC6" s="68"/>
    </row>
    <row r="7" spans="1:29" s="19" customFormat="1" ht="15.75" x14ac:dyDescent="0.2">
      <c r="A7" s="1281" t="s">
        <v>334</v>
      </c>
      <c r="B7" s="1281"/>
      <c r="C7" s="1281"/>
      <c r="D7" s="1281"/>
      <c r="E7" s="1281"/>
      <c r="F7" s="1281"/>
      <c r="G7" s="1281"/>
      <c r="H7" s="1281"/>
      <c r="I7" s="1281"/>
      <c r="J7" s="1281"/>
      <c r="K7" s="1281"/>
      <c r="L7" s="1281"/>
      <c r="M7" s="1281"/>
      <c r="N7" s="1281"/>
      <c r="O7" s="1281"/>
      <c r="P7" s="1281"/>
      <c r="Q7" s="1281"/>
      <c r="R7" s="1281"/>
      <c r="S7" s="1281"/>
      <c r="T7" s="1281"/>
      <c r="U7" s="1281"/>
      <c r="V7" s="1281"/>
      <c r="W7" s="1281"/>
      <c r="X7" s="1281"/>
      <c r="Y7" s="66"/>
      <c r="Z7" s="66"/>
      <c r="AA7" s="66"/>
      <c r="AB7" s="66"/>
      <c r="AC7" s="66"/>
    </row>
    <row r="8" spans="1:29" s="19" customFormat="1" ht="15.75" x14ac:dyDescent="0.2">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66"/>
      <c r="Z8" s="66"/>
      <c r="AA8" s="66"/>
      <c r="AB8" s="66"/>
      <c r="AC8" s="66"/>
    </row>
    <row r="9" spans="1:29" s="19" customFormat="1" ht="16.5" x14ac:dyDescent="0.25">
      <c r="A9" s="1344" t="s">
        <v>54</v>
      </c>
      <c r="B9" s="1344"/>
      <c r="C9" s="1344"/>
      <c r="D9" s="1344"/>
      <c r="E9" s="1344"/>
      <c r="F9" s="1344"/>
      <c r="G9" s="1344"/>
      <c r="H9" s="1344"/>
      <c r="I9" s="1344"/>
      <c r="J9" s="1344"/>
      <c r="K9" s="1344"/>
      <c r="L9" s="1344"/>
      <c r="M9" s="1344"/>
      <c r="N9" s="1344"/>
      <c r="O9" s="1344"/>
      <c r="P9" s="1344"/>
      <c r="Q9" s="1344"/>
      <c r="R9" s="1344"/>
      <c r="S9" s="1344"/>
      <c r="T9" s="1344"/>
      <c r="U9" s="1344"/>
      <c r="V9" s="1344"/>
      <c r="W9" s="1344"/>
      <c r="X9" s="1344"/>
      <c r="Y9" s="10"/>
      <c r="Z9" s="10"/>
      <c r="AA9" s="10"/>
      <c r="AB9" s="10"/>
      <c r="AC9" s="10"/>
    </row>
    <row r="10" spans="1:29" s="19" customFormat="1" ht="18.75" x14ac:dyDescent="0.2">
      <c r="A10" s="1350"/>
      <c r="B10" s="1350"/>
      <c r="C10" s="1350"/>
      <c r="D10" s="1350"/>
      <c r="E10" s="1350"/>
      <c r="F10" s="1350"/>
      <c r="G10" s="1350"/>
      <c r="H10" s="1350"/>
      <c r="I10" s="1350"/>
      <c r="J10" s="1350"/>
      <c r="K10" s="1350"/>
      <c r="L10" s="1350"/>
      <c r="M10" s="1350"/>
      <c r="N10" s="1350"/>
      <c r="O10" s="1350"/>
      <c r="P10" s="1350"/>
      <c r="Q10" s="1350"/>
      <c r="R10" s="1350"/>
      <c r="S10" s="1350"/>
      <c r="T10" s="1350"/>
      <c r="U10" s="1350"/>
      <c r="V10" s="1350"/>
    </row>
    <row r="11" spans="1:29" s="19" customFormat="1" ht="83.25" customHeight="1" x14ac:dyDescent="0.2">
      <c r="A11" s="1345" t="s">
        <v>379</v>
      </c>
      <c r="B11" s="1345" t="s">
        <v>31</v>
      </c>
      <c r="C11" s="1345" t="s">
        <v>32</v>
      </c>
      <c r="D11" s="1348" t="s">
        <v>390</v>
      </c>
      <c r="E11" s="1346" t="s">
        <v>139</v>
      </c>
      <c r="F11" s="1346" t="s">
        <v>134</v>
      </c>
      <c r="G11" s="1346" t="s">
        <v>328</v>
      </c>
      <c r="H11" s="1345" t="s">
        <v>77</v>
      </c>
      <c r="I11" s="1345"/>
      <c r="J11" s="1345"/>
      <c r="K11" s="1345"/>
      <c r="L11" s="1351" t="s">
        <v>76</v>
      </c>
      <c r="M11" s="1352"/>
      <c r="N11" s="1255" t="s">
        <v>48</v>
      </c>
      <c r="O11" s="1255" t="s">
        <v>47</v>
      </c>
      <c r="P11" s="1264" t="s">
        <v>380</v>
      </c>
      <c r="Q11" s="1355" t="s">
        <v>378</v>
      </c>
      <c r="R11" s="1263" t="s">
        <v>375</v>
      </c>
      <c r="S11" s="1263"/>
      <c r="T11" s="1263"/>
      <c r="U11" s="1263"/>
      <c r="V11" s="1345" t="s">
        <v>138</v>
      </c>
      <c r="W11" s="1345" t="s">
        <v>361</v>
      </c>
      <c r="X11" s="1345"/>
    </row>
    <row r="12" spans="1:29" s="17" customFormat="1" ht="96.75" customHeight="1" x14ac:dyDescent="0.25">
      <c r="A12" s="1345"/>
      <c r="B12" s="1345"/>
      <c r="C12" s="1345"/>
      <c r="D12" s="1348"/>
      <c r="E12" s="1349"/>
      <c r="F12" s="1349"/>
      <c r="G12" s="1349"/>
      <c r="H12" s="1345" t="s">
        <v>129</v>
      </c>
      <c r="I12" s="1345" t="s">
        <v>130</v>
      </c>
      <c r="J12" s="1345" t="s">
        <v>131</v>
      </c>
      <c r="K12" s="1346" t="s">
        <v>132</v>
      </c>
      <c r="L12" s="1353"/>
      <c r="M12" s="1354"/>
      <c r="N12" s="1255"/>
      <c r="O12" s="1255"/>
      <c r="P12" s="1265"/>
      <c r="Q12" s="1356"/>
      <c r="R12" s="1337" t="s">
        <v>374</v>
      </c>
      <c r="S12" s="1339"/>
      <c r="T12" s="1267" t="s">
        <v>376</v>
      </c>
      <c r="U12" s="1267"/>
      <c r="V12" s="1345"/>
      <c r="W12" s="1345"/>
      <c r="X12" s="1345"/>
    </row>
    <row r="13" spans="1:29" s="17" customFormat="1" ht="99" customHeight="1" x14ac:dyDescent="0.25">
      <c r="A13" s="1345"/>
      <c r="B13" s="1345"/>
      <c r="C13" s="1345"/>
      <c r="D13" s="1348"/>
      <c r="E13" s="1347"/>
      <c r="F13" s="1347"/>
      <c r="G13" s="1347"/>
      <c r="H13" s="1345"/>
      <c r="I13" s="1345"/>
      <c r="J13" s="1345"/>
      <c r="K13" s="1347"/>
      <c r="L13" s="80" t="s">
        <v>75</v>
      </c>
      <c r="M13" s="62" t="s">
        <v>46</v>
      </c>
      <c r="N13" s="1255"/>
      <c r="O13" s="1255"/>
      <c r="P13" s="1266"/>
      <c r="Q13" s="1357"/>
      <c r="R13" s="60" t="s">
        <v>36</v>
      </c>
      <c r="S13" s="60" t="s">
        <v>37</v>
      </c>
      <c r="T13" s="60" t="s">
        <v>36</v>
      </c>
      <c r="U13" s="60" t="s">
        <v>37</v>
      </c>
      <c r="V13" s="1345"/>
      <c r="W13" s="86" t="s">
        <v>332</v>
      </c>
      <c r="X13" s="87" t="s">
        <v>140</v>
      </c>
    </row>
    <row r="14" spans="1:29" s="20" customFormat="1" ht="15.75" x14ac:dyDescent="0.25">
      <c r="A14" s="84">
        <v>1</v>
      </c>
      <c r="B14" s="84">
        <v>2</v>
      </c>
      <c r="C14" s="84">
        <v>3</v>
      </c>
      <c r="D14" s="84">
        <v>4</v>
      </c>
      <c r="E14" s="84">
        <v>5</v>
      </c>
      <c r="F14" s="84">
        <v>6</v>
      </c>
      <c r="G14" s="84">
        <v>7</v>
      </c>
      <c r="H14" s="84">
        <v>8</v>
      </c>
      <c r="I14" s="84">
        <v>9</v>
      </c>
      <c r="J14" s="84">
        <v>10</v>
      </c>
      <c r="K14" s="84">
        <v>11</v>
      </c>
      <c r="L14" s="84">
        <v>12</v>
      </c>
      <c r="M14" s="84">
        <v>13</v>
      </c>
      <c r="N14" s="84">
        <v>14</v>
      </c>
      <c r="O14" s="84">
        <v>15</v>
      </c>
      <c r="P14" s="84">
        <v>16</v>
      </c>
      <c r="Q14" s="84">
        <v>17</v>
      </c>
      <c r="R14" s="84">
        <v>18</v>
      </c>
      <c r="S14" s="84">
        <v>19</v>
      </c>
      <c r="T14" s="84">
        <v>20</v>
      </c>
      <c r="U14" s="84">
        <v>21</v>
      </c>
      <c r="V14" s="84">
        <v>22</v>
      </c>
      <c r="W14" s="84">
        <v>23</v>
      </c>
      <c r="X14" s="84">
        <v>24</v>
      </c>
    </row>
    <row r="15" spans="1:29" ht="15.75" x14ac:dyDescent="0.2">
      <c r="A15" s="59"/>
      <c r="B15" s="85"/>
      <c r="C15" s="23"/>
      <c r="D15" s="23"/>
      <c r="E15" s="23"/>
      <c r="F15" s="23"/>
      <c r="G15" s="23"/>
      <c r="H15" s="22"/>
      <c r="I15" s="22"/>
      <c r="J15" s="22"/>
      <c r="K15" s="22"/>
      <c r="L15" s="23"/>
      <c r="M15" s="23"/>
      <c r="N15" s="23"/>
      <c r="O15" s="23"/>
      <c r="P15" s="23"/>
      <c r="Q15" s="51"/>
      <c r="R15" s="51"/>
      <c r="S15" s="51"/>
      <c r="T15" s="51"/>
      <c r="U15" s="51"/>
      <c r="V15" s="23"/>
      <c r="W15" s="22"/>
      <c r="X15" s="22"/>
    </row>
  </sheetData>
  <mergeCells count="29">
    <mergeCell ref="R12:S12"/>
    <mergeCell ref="T12:U12"/>
    <mergeCell ref="L11:M12"/>
    <mergeCell ref="H11:K11"/>
    <mergeCell ref="N11:N13"/>
    <mergeCell ref="O11:O13"/>
    <mergeCell ref="P11:P13"/>
    <mergeCell ref="Q11:Q13"/>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A6:X6"/>
    <mergeCell ref="A7:X7"/>
    <mergeCell ref="A8:X8"/>
    <mergeCell ref="A4:X4"/>
    <mergeCell ref="A5:X5"/>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84"/>
  <sheetViews>
    <sheetView view="pageBreakPreview" topLeftCell="A16" zoomScale="90" zoomScaleNormal="85" zoomScaleSheetLayoutView="90" workbookViewId="0">
      <selection activeCell="N26" sqref="N26"/>
    </sheetView>
  </sheetViews>
  <sheetFormatPr defaultRowHeight="15" x14ac:dyDescent="0.25"/>
  <cols>
    <col min="1" max="1" width="10.5" style="32" customWidth="1"/>
    <col min="2" max="2" width="37.375" style="5" customWidth="1"/>
    <col min="3" max="3" width="21.5" style="5" customWidth="1"/>
    <col min="4" max="4" width="18.875" style="5" customWidth="1"/>
    <col min="5" max="6" width="10.875" style="5" bestFit="1" customWidth="1"/>
    <col min="7" max="7" width="9.5" style="5" customWidth="1"/>
    <col min="8" max="8" width="9.75" style="5" customWidth="1"/>
    <col min="9" max="9" width="9.375" style="5" customWidth="1"/>
    <col min="10" max="16384" width="9" style="5"/>
  </cols>
  <sheetData>
    <row r="1" spans="1:18" ht="18.75" x14ac:dyDescent="0.25">
      <c r="I1" s="16" t="s">
        <v>382</v>
      </c>
    </row>
    <row r="2" spans="1:18" ht="18.75" x14ac:dyDescent="0.3">
      <c r="I2" s="11" t="s">
        <v>1</v>
      </c>
    </row>
    <row r="3" spans="1:18" ht="18.75" x14ac:dyDescent="0.3">
      <c r="I3" s="11" t="s">
        <v>265</v>
      </c>
    </row>
    <row r="4" spans="1:18" s="73" customFormat="1" x14ac:dyDescent="0.25">
      <c r="A4" s="78"/>
    </row>
    <row r="5" spans="1:18" s="73" customFormat="1" ht="15.75" x14ac:dyDescent="0.25">
      <c r="A5" s="1359" t="s">
        <v>403</v>
      </c>
      <c r="B5" s="1359"/>
      <c r="C5" s="1359"/>
      <c r="D5" s="1359"/>
      <c r="E5" s="1359"/>
      <c r="F5" s="1359"/>
      <c r="G5" s="1359"/>
      <c r="H5" s="1359"/>
      <c r="I5" s="1359"/>
    </row>
    <row r="6" spans="1:18" ht="15.75" x14ac:dyDescent="0.25">
      <c r="A6" s="89"/>
      <c r="B6" s="90"/>
      <c r="C6" s="90"/>
      <c r="D6" s="90"/>
      <c r="E6" s="90"/>
      <c r="F6" s="90"/>
      <c r="G6" s="90"/>
      <c r="H6" s="90"/>
      <c r="I6" s="90"/>
    </row>
    <row r="7" spans="1:18" s="64" customFormat="1" ht="15.75" x14ac:dyDescent="0.25">
      <c r="A7" s="1281" t="s">
        <v>810</v>
      </c>
      <c r="B7" s="1281"/>
      <c r="C7" s="1281"/>
      <c r="D7" s="1281"/>
      <c r="E7" s="1281"/>
      <c r="F7" s="1281"/>
      <c r="G7" s="1281"/>
      <c r="H7" s="1281"/>
      <c r="I7" s="1281"/>
      <c r="J7" s="68"/>
      <c r="K7" s="68"/>
      <c r="L7" s="68"/>
      <c r="M7" s="68"/>
      <c r="N7" s="68"/>
      <c r="O7" s="68"/>
      <c r="P7" s="68"/>
      <c r="Q7" s="7"/>
      <c r="R7" s="6"/>
    </row>
    <row r="8" spans="1:18" s="64" customFormat="1" ht="15.75" x14ac:dyDescent="0.25">
      <c r="A8" s="1282" t="s">
        <v>334</v>
      </c>
      <c r="B8" s="1282"/>
      <c r="C8" s="1282"/>
      <c r="D8" s="1282"/>
      <c r="E8" s="1282"/>
      <c r="F8" s="1282"/>
      <c r="G8" s="1282"/>
      <c r="H8" s="1282"/>
      <c r="I8" s="1282"/>
      <c r="J8" s="66"/>
      <c r="K8" s="66"/>
      <c r="L8" s="66"/>
      <c r="M8" s="66"/>
      <c r="N8" s="66"/>
      <c r="O8" s="66"/>
      <c r="P8" s="66"/>
      <c r="Q8" s="7"/>
      <c r="R8" s="6"/>
    </row>
    <row r="9" spans="1:18" s="64" customFormat="1" ht="15.75" x14ac:dyDescent="0.25">
      <c r="A9" s="1282"/>
      <c r="B9" s="1282"/>
      <c r="C9" s="1282"/>
      <c r="D9" s="1282"/>
      <c r="E9" s="1282"/>
      <c r="F9" s="1282"/>
      <c r="G9" s="1282"/>
      <c r="H9" s="1282"/>
      <c r="I9" s="1282"/>
      <c r="J9" s="70"/>
      <c r="K9" s="70"/>
      <c r="L9" s="70"/>
      <c r="M9" s="70"/>
      <c r="N9" s="70"/>
      <c r="O9" s="70"/>
      <c r="P9" s="70"/>
      <c r="Q9" s="7"/>
      <c r="R9" s="6"/>
    </row>
    <row r="10" spans="1:18" ht="15.75" x14ac:dyDescent="0.25">
      <c r="A10" s="1280" t="s">
        <v>1712</v>
      </c>
      <c r="B10" s="1280"/>
      <c r="C10" s="1280"/>
      <c r="D10" s="1280"/>
      <c r="E10" s="1280"/>
      <c r="F10" s="1280"/>
      <c r="G10" s="1280"/>
      <c r="H10" s="1280"/>
      <c r="I10" s="1280"/>
    </row>
    <row r="11" spans="1:18" s="34" customFormat="1" x14ac:dyDescent="0.25">
      <c r="B11" s="5"/>
      <c r="C11" s="5"/>
      <c r="D11" s="5"/>
      <c r="E11" s="5"/>
      <c r="F11" s="5"/>
      <c r="G11" s="5"/>
      <c r="H11" s="71"/>
    </row>
    <row r="12" spans="1:18" s="33" customFormat="1" ht="34.5" customHeight="1" x14ac:dyDescent="0.25">
      <c r="A12" s="1358" t="s">
        <v>510</v>
      </c>
      <c r="B12" s="1267" t="s">
        <v>15</v>
      </c>
      <c r="C12" s="1267" t="s">
        <v>512</v>
      </c>
      <c r="D12" s="1267" t="s">
        <v>91</v>
      </c>
      <c r="E12" s="1337" t="s">
        <v>822</v>
      </c>
      <c r="F12" s="1338"/>
      <c r="G12" s="1338"/>
      <c r="H12" s="1338"/>
      <c r="I12" s="1338"/>
    </row>
    <row r="13" spans="1:18" s="34" customFormat="1" ht="34.5" customHeight="1" x14ac:dyDescent="0.25">
      <c r="A13" s="1358"/>
      <c r="B13" s="1267"/>
      <c r="C13" s="1267"/>
      <c r="D13" s="1267"/>
      <c r="E13" s="94">
        <v>2020</v>
      </c>
      <c r="F13" s="94">
        <v>2021</v>
      </c>
      <c r="G13" s="94">
        <v>2022</v>
      </c>
      <c r="H13" s="94">
        <v>2023</v>
      </c>
      <c r="I13" s="94">
        <v>2024</v>
      </c>
    </row>
    <row r="14" spans="1:18" s="34" customFormat="1" ht="15.75" customHeight="1" x14ac:dyDescent="0.25">
      <c r="A14" s="88">
        <v>1</v>
      </c>
      <c r="B14" s="82">
        <v>2</v>
      </c>
      <c r="C14" s="88">
        <v>3</v>
      </c>
      <c r="D14" s="82">
        <v>4</v>
      </c>
      <c r="E14" s="96" t="s">
        <v>100</v>
      </c>
      <c r="F14" s="97" t="s">
        <v>101</v>
      </c>
      <c r="G14" s="96" t="s">
        <v>116</v>
      </c>
      <c r="H14" s="97" t="s">
        <v>117</v>
      </c>
      <c r="I14" s="96" t="s">
        <v>523</v>
      </c>
    </row>
    <row r="15" spans="1:18" s="6" customFormat="1" ht="267.75" customHeight="1" x14ac:dyDescent="0.25">
      <c r="A15" s="740">
        <v>1</v>
      </c>
      <c r="B15" s="741" t="s">
        <v>455</v>
      </c>
      <c r="C15" s="741" t="s">
        <v>1714</v>
      </c>
      <c r="D15" s="741" t="s">
        <v>1713</v>
      </c>
      <c r="E15" s="742">
        <v>1.056</v>
      </c>
      <c r="F15" s="742">
        <v>1.0509999999999999</v>
      </c>
      <c r="G15" s="743">
        <v>1.0529999999999999</v>
      </c>
      <c r="H15" s="742">
        <v>1.0549999999999999</v>
      </c>
      <c r="I15" s="742">
        <v>1.056</v>
      </c>
    </row>
    <row r="16" spans="1:18" s="6" customFormat="1" ht="74.25" customHeight="1" x14ac:dyDescent="0.25">
      <c r="A16" s="49">
        <v>2</v>
      </c>
      <c r="B16" s="744" t="s">
        <v>456</v>
      </c>
      <c r="C16" s="744" t="s">
        <v>621</v>
      </c>
      <c r="D16" s="744" t="s">
        <v>621</v>
      </c>
      <c r="E16" s="744" t="s">
        <v>621</v>
      </c>
      <c r="F16" s="744" t="s">
        <v>621</v>
      </c>
      <c r="G16" s="745" t="s">
        <v>621</v>
      </c>
      <c r="H16" s="745" t="s">
        <v>621</v>
      </c>
      <c r="I16" s="745" t="s">
        <v>621</v>
      </c>
    </row>
    <row r="17" spans="1:10" s="6" customFormat="1" ht="66" customHeight="1" x14ac:dyDescent="0.25">
      <c r="A17" s="49">
        <v>3</v>
      </c>
      <c r="B17" s="744" t="s">
        <v>456</v>
      </c>
      <c r="C17" s="744" t="s">
        <v>621</v>
      </c>
      <c r="D17" s="744" t="s">
        <v>621</v>
      </c>
      <c r="E17" s="744" t="s">
        <v>621</v>
      </c>
      <c r="F17" s="744" t="s">
        <v>621</v>
      </c>
      <c r="G17" s="745" t="s">
        <v>621</v>
      </c>
      <c r="H17" s="745" t="s">
        <v>621</v>
      </c>
      <c r="I17" s="745" t="s">
        <v>621</v>
      </c>
    </row>
    <row r="18" spans="1:10" s="6" customFormat="1" ht="39" customHeight="1" x14ac:dyDescent="0.25">
      <c r="A18" s="61" t="s">
        <v>0</v>
      </c>
      <c r="B18" s="35" t="s">
        <v>0</v>
      </c>
      <c r="C18" s="35"/>
      <c r="D18" s="35"/>
      <c r="E18" s="295"/>
      <c r="F18" s="295"/>
      <c r="G18" s="36"/>
      <c r="H18" s="49"/>
      <c r="I18" s="49"/>
    </row>
    <row r="19" spans="1:10" s="6" customFormat="1" ht="48.75" customHeight="1" x14ac:dyDescent="0.25">
      <c r="A19" s="8"/>
      <c r="B19" s="52"/>
      <c r="C19" s="52"/>
      <c r="D19" s="52"/>
      <c r="E19" s="52"/>
      <c r="F19" s="52"/>
      <c r="G19" s="52"/>
      <c r="H19" s="37"/>
      <c r="I19" s="53"/>
      <c r="J19" s="5"/>
    </row>
    <row r="20" spans="1:10" s="6" customFormat="1" x14ac:dyDescent="0.25">
      <c r="A20" s="8"/>
    </row>
    <row r="21" spans="1:10" s="134" customFormat="1" ht="18.75" x14ac:dyDescent="0.3">
      <c r="A21" s="130" t="s">
        <v>1747</v>
      </c>
      <c r="B21" s="130"/>
      <c r="C21" s="130"/>
      <c r="E21" s="130"/>
      <c r="F21" s="130"/>
      <c r="H21" s="130" t="s">
        <v>1652</v>
      </c>
    </row>
    <row r="22" spans="1:10" s="6" customFormat="1" ht="51.75" customHeight="1" x14ac:dyDescent="0.25">
      <c r="A22" s="8"/>
      <c r="H22" s="38"/>
      <c r="I22" s="54"/>
      <c r="J22" s="45"/>
    </row>
    <row r="23" spans="1:10" s="6" customFormat="1" ht="31.5" customHeight="1" x14ac:dyDescent="0.25">
      <c r="A23" s="8"/>
      <c r="E23" s="6">
        <v>1.044</v>
      </c>
      <c r="F23" s="6">
        <v>1.042</v>
      </c>
      <c r="G23" s="6">
        <v>1.0429999999999999</v>
      </c>
      <c r="H23" s="38">
        <v>1.044</v>
      </c>
      <c r="I23" s="54">
        <v>1.044</v>
      </c>
      <c r="J23" s="46"/>
    </row>
    <row r="24" spans="1:10" s="6" customFormat="1" ht="49.5" customHeight="1" x14ac:dyDescent="0.25">
      <c r="A24" s="8"/>
      <c r="E24" s="6">
        <v>1.036</v>
      </c>
      <c r="F24" s="6">
        <v>1.036</v>
      </c>
      <c r="G24" s="6">
        <v>1.036</v>
      </c>
      <c r="H24" s="6">
        <v>1.036</v>
      </c>
      <c r="I24" s="6">
        <v>1.036</v>
      </c>
      <c r="J24" s="47"/>
    </row>
    <row r="25" spans="1:10" s="6" customFormat="1" ht="49.5" customHeight="1" x14ac:dyDescent="0.25">
      <c r="A25" s="8"/>
      <c r="B25" s="39"/>
      <c r="C25" s="39"/>
      <c r="D25" s="39"/>
      <c r="E25" s="39"/>
      <c r="F25" s="39"/>
      <c r="G25" s="39"/>
      <c r="H25" s="40"/>
      <c r="I25" s="55"/>
      <c r="J25" s="47"/>
    </row>
    <row r="26" spans="1:10" s="6" customFormat="1" ht="29.25" customHeight="1" x14ac:dyDescent="0.25">
      <c r="A26" s="8"/>
      <c r="B26" s="41"/>
      <c r="C26" s="41"/>
      <c r="D26" s="41"/>
      <c r="E26" s="41"/>
      <c r="F26" s="41"/>
      <c r="G26" s="41"/>
      <c r="H26" s="42"/>
      <c r="I26" s="55"/>
      <c r="J26" s="47"/>
    </row>
    <row r="27" spans="1:10" ht="15.75" x14ac:dyDescent="0.25">
      <c r="H27" s="43"/>
      <c r="I27" s="55"/>
      <c r="J27" s="47"/>
    </row>
    <row r="28" spans="1:10" ht="15.75" customHeight="1" x14ac:dyDescent="0.25">
      <c r="H28" s="43"/>
      <c r="I28" s="39"/>
      <c r="J28" s="47"/>
    </row>
    <row r="29" spans="1:10" ht="43.5" customHeight="1" x14ac:dyDescent="0.25">
      <c r="H29" s="43"/>
      <c r="I29" s="39"/>
      <c r="J29" s="47"/>
    </row>
    <row r="30" spans="1:10" ht="15.75" customHeight="1" x14ac:dyDescent="0.25">
      <c r="H30" s="43"/>
      <c r="I30" s="39"/>
      <c r="J30" s="47"/>
    </row>
    <row r="31" spans="1:10" ht="45" customHeight="1" x14ac:dyDescent="0.25">
      <c r="H31" s="43"/>
      <c r="I31" s="39"/>
      <c r="J31" s="47"/>
    </row>
    <row r="32" spans="1:10" ht="46.5" customHeight="1" x14ac:dyDescent="0.25">
      <c r="H32" s="43"/>
      <c r="I32" s="39"/>
      <c r="J32" s="47"/>
    </row>
    <row r="33" spans="8:10" ht="52.5" customHeight="1" x14ac:dyDescent="0.25">
      <c r="H33" s="43"/>
      <c r="I33" s="39"/>
      <c r="J33" s="47"/>
    </row>
    <row r="34" spans="8:10" ht="30" customHeight="1" x14ac:dyDescent="0.25">
      <c r="H34" s="43"/>
      <c r="I34" s="39"/>
      <c r="J34" s="47"/>
    </row>
    <row r="35" spans="8:10" ht="15.75" customHeight="1" x14ac:dyDescent="0.25">
      <c r="H35" s="43"/>
      <c r="I35" s="39"/>
      <c r="J35" s="47"/>
    </row>
    <row r="36" spans="8:10" ht="15.75" customHeight="1" x14ac:dyDescent="0.25">
      <c r="H36" s="43"/>
      <c r="I36" s="39"/>
      <c r="J36" s="47"/>
    </row>
    <row r="37" spans="8:10" ht="15.75" customHeight="1" x14ac:dyDescent="0.25">
      <c r="H37" s="43"/>
      <c r="I37" s="39"/>
      <c r="J37" s="47"/>
    </row>
    <row r="38" spans="8:10" ht="15.75" customHeight="1" x14ac:dyDescent="0.25">
      <c r="H38" s="43"/>
      <c r="I38" s="39"/>
      <c r="J38" s="47"/>
    </row>
    <row r="39" spans="8:10" ht="42.75" customHeight="1" x14ac:dyDescent="0.25">
      <c r="H39" s="43"/>
      <c r="I39" s="39"/>
      <c r="J39" s="47"/>
    </row>
    <row r="40" spans="8:10" ht="43.5" customHeight="1" x14ac:dyDescent="0.25">
      <c r="H40" s="43"/>
      <c r="I40" s="39"/>
      <c r="J40" s="47"/>
    </row>
    <row r="41" spans="8:10" ht="54" customHeight="1" x14ac:dyDescent="0.25">
      <c r="H41" s="43"/>
      <c r="I41" s="39"/>
      <c r="J41" s="47"/>
    </row>
    <row r="42" spans="8:10" ht="15.75" customHeight="1" x14ac:dyDescent="0.25">
      <c r="H42" s="43"/>
      <c r="I42" s="39"/>
      <c r="J42" s="47"/>
    </row>
    <row r="43" spans="8:10" ht="50.25" customHeight="1" x14ac:dyDescent="0.25">
      <c r="H43" s="43"/>
      <c r="I43" s="39"/>
      <c r="J43" s="47"/>
    </row>
    <row r="44" spans="8:10" ht="34.5" customHeight="1" x14ac:dyDescent="0.25">
      <c r="H44" s="43"/>
      <c r="I44" s="39"/>
      <c r="J44" s="47"/>
    </row>
    <row r="45" spans="8:10" ht="15.75" customHeight="1" x14ac:dyDescent="0.25">
      <c r="H45" s="43"/>
      <c r="I45" s="39"/>
      <c r="J45" s="47"/>
    </row>
    <row r="46" spans="8:10" ht="15.75" customHeight="1" x14ac:dyDescent="0.25">
      <c r="H46" s="43"/>
      <c r="I46" s="55"/>
      <c r="J46" s="47"/>
    </row>
    <row r="47" spans="8:10" ht="35.25" customHeight="1" x14ac:dyDescent="0.25">
      <c r="H47" s="43"/>
      <c r="I47" s="55"/>
      <c r="J47" s="47"/>
    </row>
    <row r="48" spans="8:10" ht="45" customHeight="1" x14ac:dyDescent="0.25">
      <c r="H48" s="43"/>
      <c r="I48" s="55"/>
      <c r="J48" s="47"/>
    </row>
    <row r="49" spans="1:10" ht="78.75" customHeight="1" x14ac:dyDescent="0.25">
      <c r="H49" s="43"/>
      <c r="I49" s="55"/>
      <c r="J49" s="47"/>
    </row>
    <row r="50" spans="1:10" ht="45.75" customHeight="1" x14ac:dyDescent="0.25">
      <c r="H50" s="43"/>
      <c r="I50" s="55"/>
      <c r="J50" s="47"/>
    </row>
    <row r="51" spans="1:10" s="6" customFormat="1" ht="102" customHeight="1" x14ac:dyDescent="0.25">
      <c r="A51" s="8"/>
    </row>
    <row r="52" spans="1:10" s="6" customFormat="1" ht="54.75" customHeight="1" x14ac:dyDescent="0.25">
      <c r="A52" s="8"/>
    </row>
    <row r="53" spans="1:10" s="6" customFormat="1" x14ac:dyDescent="0.25">
      <c r="A53" s="8"/>
    </row>
    <row r="54" spans="1:10" s="6" customFormat="1" x14ac:dyDescent="0.25">
      <c r="A54" s="8"/>
    </row>
    <row r="55" spans="1:10" ht="38.25" customHeight="1" x14ac:dyDescent="0.25">
      <c r="H55" s="43"/>
      <c r="I55" s="55"/>
      <c r="J55" s="47"/>
    </row>
    <row r="56" spans="1:10" ht="15.75" customHeight="1" x14ac:dyDescent="0.25">
      <c r="H56" s="43"/>
      <c r="I56" s="55"/>
      <c r="J56" s="47"/>
    </row>
    <row r="57" spans="1:10" ht="15.75" customHeight="1" x14ac:dyDescent="0.25">
      <c r="H57" s="43"/>
      <c r="I57" s="55"/>
      <c r="J57" s="47"/>
    </row>
    <row r="58" spans="1:10" ht="15.75" customHeight="1" x14ac:dyDescent="0.25">
      <c r="H58" s="43"/>
      <c r="I58" s="55"/>
      <c r="J58" s="47"/>
    </row>
    <row r="59" spans="1:10" ht="102" customHeight="1" x14ac:dyDescent="0.25">
      <c r="H59" s="43"/>
      <c r="I59" s="55"/>
      <c r="J59" s="47"/>
    </row>
    <row r="60" spans="1:10" ht="57.75" customHeight="1" x14ac:dyDescent="0.25">
      <c r="H60" s="43"/>
      <c r="I60" s="55"/>
      <c r="J60" s="47"/>
    </row>
    <row r="61" spans="1:10" ht="48" customHeight="1" x14ac:dyDescent="0.25">
      <c r="H61" s="43"/>
      <c r="I61" s="55"/>
      <c r="J61" s="47"/>
    </row>
    <row r="62" spans="1:10" ht="15.75" customHeight="1" x14ac:dyDescent="0.25">
      <c r="H62" s="43"/>
      <c r="I62" s="55"/>
      <c r="J62" s="47"/>
    </row>
    <row r="63" spans="1:10" ht="30.75" customHeight="1" x14ac:dyDescent="0.25">
      <c r="H63" s="43"/>
      <c r="I63" s="55"/>
      <c r="J63" s="47"/>
    </row>
    <row r="64" spans="1:10" ht="15.75" customHeight="1" x14ac:dyDescent="0.25">
      <c r="H64" s="43"/>
      <c r="I64" s="55"/>
      <c r="J64" s="47"/>
    </row>
    <row r="65" spans="1:10" ht="15.75" customHeight="1" x14ac:dyDescent="0.25">
      <c r="H65" s="43"/>
      <c r="I65" s="55"/>
      <c r="J65" s="47"/>
    </row>
    <row r="66" spans="1:10" ht="15.75" customHeight="1" x14ac:dyDescent="0.25">
      <c r="H66" s="43"/>
      <c r="I66" s="55"/>
      <c r="J66" s="47"/>
    </row>
    <row r="67" spans="1:10" ht="15.75" customHeight="1" x14ac:dyDescent="0.25">
      <c r="H67" s="43"/>
      <c r="I67" s="55"/>
      <c r="J67" s="47"/>
    </row>
    <row r="68" spans="1:10" ht="15.75" customHeight="1" x14ac:dyDescent="0.25">
      <c r="H68" s="43"/>
      <c r="I68" s="55"/>
      <c r="J68" s="47"/>
    </row>
    <row r="69" spans="1:10" ht="15.75" customHeight="1" x14ac:dyDescent="0.25">
      <c r="H69" s="43"/>
      <c r="I69" s="55"/>
      <c r="J69" s="47"/>
    </row>
    <row r="70" spans="1:10" ht="15.75" customHeight="1" x14ac:dyDescent="0.25">
      <c r="H70" s="43"/>
      <c r="I70" s="55"/>
      <c r="J70" s="47"/>
    </row>
    <row r="71" spans="1:10" ht="15.75" customHeight="1" x14ac:dyDescent="0.25">
      <c r="H71" s="43"/>
      <c r="I71" s="55"/>
      <c r="J71" s="47"/>
    </row>
    <row r="72" spans="1:10" ht="15.75" customHeight="1" x14ac:dyDescent="0.25">
      <c r="H72" s="43"/>
      <c r="I72" s="55"/>
      <c r="J72" s="47"/>
    </row>
    <row r="73" spans="1:10" ht="15.75" customHeight="1" x14ac:dyDescent="0.25">
      <c r="H73" s="43"/>
      <c r="I73" s="55"/>
      <c r="J73" s="47"/>
    </row>
    <row r="74" spans="1:10" ht="15.75" customHeight="1" x14ac:dyDescent="0.25">
      <c r="H74" s="43"/>
      <c r="I74" s="55"/>
      <c r="J74" s="47"/>
    </row>
    <row r="75" spans="1:10" s="6" customFormat="1" ht="15.75" customHeight="1" x14ac:dyDescent="0.25">
      <c r="A75" s="8"/>
    </row>
    <row r="76" spans="1:10" ht="15.75" x14ac:dyDescent="0.25">
      <c r="H76" s="43"/>
      <c r="I76" s="55"/>
      <c r="J76" s="47"/>
    </row>
    <row r="77" spans="1:10" ht="45" customHeight="1" x14ac:dyDescent="0.25">
      <c r="H77" s="44"/>
      <c r="I77" s="56"/>
      <c r="J77" s="48"/>
    </row>
    <row r="78" spans="1:10" x14ac:dyDescent="0.25">
      <c r="B78" s="12"/>
      <c r="C78" s="12"/>
      <c r="D78" s="12"/>
      <c r="E78" s="12"/>
      <c r="F78" s="12"/>
      <c r="G78" s="12"/>
      <c r="H78" s="44"/>
      <c r="I78" s="56"/>
      <c r="J78" s="48"/>
    </row>
    <row r="79" spans="1:10" s="32" customFormat="1" ht="19.5" customHeight="1" x14ac:dyDescent="0.25">
      <c r="B79" s="5"/>
      <c r="C79" s="5"/>
      <c r="D79" s="5"/>
      <c r="E79" s="5"/>
      <c r="F79" s="5"/>
      <c r="G79" s="5"/>
      <c r="H79" s="5"/>
      <c r="I79" s="5"/>
      <c r="J79" s="5"/>
    </row>
    <row r="84" s="32" customFormat="1" x14ac:dyDescent="0.25"/>
  </sheetData>
  <mergeCells count="10">
    <mergeCell ref="A10:I10"/>
    <mergeCell ref="A8:I8"/>
    <mergeCell ref="A5:I5"/>
    <mergeCell ref="A7:I7"/>
    <mergeCell ref="A9:I9"/>
    <mergeCell ref="C12:C13"/>
    <mergeCell ref="D12:D13"/>
    <mergeCell ref="B12:B13"/>
    <mergeCell ref="A12:A13"/>
    <mergeCell ref="E12:I12"/>
  </mergeCells>
  <pageMargins left="0.70866141732283472" right="0.70866141732283472" top="0.74803149606299213" bottom="0.74803149606299213" header="0.31496062992125984" footer="0.31496062992125984"/>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2"/>
  <sheetViews>
    <sheetView view="pageBreakPreview" topLeftCell="A7" zoomScale="110" zoomScaleNormal="100" zoomScaleSheetLayoutView="110" workbookViewId="0">
      <selection activeCell="B22" sqref="B22"/>
    </sheetView>
  </sheetViews>
  <sheetFormatPr defaultRowHeight="15.75" x14ac:dyDescent="0.25"/>
  <cols>
    <col min="1" max="1" width="7.25" style="1" customWidth="1"/>
    <col min="2" max="2" width="51.125" style="1" customWidth="1"/>
    <col min="3" max="3" width="11.5" style="1" customWidth="1"/>
    <col min="4" max="4" width="12.375" style="1" customWidth="1"/>
    <col min="5" max="5" width="16.5" style="1" customWidth="1"/>
    <col min="6" max="6" width="12.375" style="120" customWidth="1"/>
    <col min="7" max="7" width="16.5" style="120" customWidth="1"/>
    <col min="8" max="8" width="14.375" style="1" customWidth="1"/>
    <col min="9" max="9" width="4.5" style="1" customWidth="1"/>
    <col min="10" max="10" width="6" style="1" customWidth="1"/>
    <col min="11" max="12" width="5.75" style="1" customWidth="1"/>
    <col min="13" max="13" width="5" style="1" customWidth="1"/>
    <col min="14" max="14" width="4.75" style="1" customWidth="1"/>
    <col min="15" max="15" width="4.375" style="1" customWidth="1"/>
    <col min="16" max="16" width="4.25" style="1" customWidth="1"/>
    <col min="17" max="17" width="5.75" style="1" customWidth="1"/>
    <col min="18" max="18" width="6.25" style="1" customWidth="1"/>
    <col min="19" max="19" width="4.625" style="1" customWidth="1"/>
    <col min="20" max="20" width="4.375" style="1" customWidth="1"/>
    <col min="21" max="22" width="3.375" style="1" customWidth="1"/>
    <col min="23" max="23" width="4.125" style="1" customWidth="1"/>
    <col min="24" max="26" width="5.75" style="1" customWidth="1"/>
    <col min="27" max="27" width="3.875" style="1" customWidth="1"/>
    <col min="28" max="28" width="4.5" style="1" customWidth="1"/>
    <col min="29" max="29" width="3.875" style="1" customWidth="1"/>
    <col min="30" max="30" width="4.375" style="1" customWidth="1"/>
    <col min="31" max="33" width="5.75" style="1" customWidth="1"/>
    <col min="34" max="34" width="6.125" style="1" customWidth="1"/>
    <col min="35" max="35" width="5.75" style="1" customWidth="1"/>
    <col min="36" max="36" width="6.5" style="1" customWidth="1"/>
    <col min="37" max="37" width="3.5" style="1" customWidth="1"/>
    <col min="38" max="38" width="5.75" style="1" customWidth="1"/>
    <col min="39" max="39" width="16.125" style="1" customWidth="1"/>
    <col min="40" max="40" width="21.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 style="1" customWidth="1"/>
    <col min="48" max="48" width="3.875" style="1" customWidth="1"/>
    <col min="49" max="49" width="4.5" style="1" customWidth="1"/>
    <col min="50" max="50" width="5" style="1" customWidth="1"/>
    <col min="51" max="51" width="5.5" style="1" customWidth="1"/>
    <col min="52" max="52" width="5.75" style="1" customWidth="1"/>
    <col min="53" max="53" width="5.5" style="1" customWidth="1"/>
    <col min="54" max="55" width="5" style="1" customWidth="1"/>
    <col min="56" max="56" width="12.875" style="1" customWidth="1"/>
    <col min="57" max="66" width="5" style="1" customWidth="1"/>
    <col min="67" max="16384" width="9" style="1"/>
  </cols>
  <sheetData>
    <row r="1" spans="1:56" ht="18.75" x14ac:dyDescent="0.25">
      <c r="H1" s="16" t="s">
        <v>502</v>
      </c>
      <c r="N1" s="2"/>
      <c r="O1" s="3"/>
      <c r="P1" s="2"/>
      <c r="Q1" s="2"/>
      <c r="R1" s="2"/>
      <c r="S1" s="2"/>
      <c r="T1" s="2"/>
      <c r="U1" s="2"/>
      <c r="V1" s="2"/>
      <c r="W1" s="2"/>
      <c r="X1" s="2"/>
    </row>
    <row r="2" spans="1:56" ht="18.75" x14ac:dyDescent="0.3">
      <c r="H2" s="11" t="s">
        <v>1</v>
      </c>
      <c r="N2" s="2"/>
      <c r="O2" s="3"/>
      <c r="P2" s="2"/>
      <c r="Q2" s="2"/>
      <c r="R2" s="2"/>
      <c r="S2" s="2"/>
      <c r="T2" s="2"/>
      <c r="U2" s="2"/>
      <c r="V2" s="2"/>
      <c r="W2" s="2"/>
      <c r="X2" s="2"/>
    </row>
    <row r="3" spans="1:56" ht="18.75" x14ac:dyDescent="0.3">
      <c r="H3" s="11" t="s">
        <v>265</v>
      </c>
      <c r="N3" s="2"/>
      <c r="O3" s="3"/>
      <c r="P3" s="2"/>
      <c r="Q3" s="2"/>
      <c r="R3" s="2"/>
      <c r="S3" s="2"/>
      <c r="T3" s="2"/>
      <c r="U3" s="2"/>
      <c r="V3" s="2"/>
      <c r="W3" s="2"/>
      <c r="X3" s="2"/>
    </row>
    <row r="4" spans="1:56" ht="18.75" x14ac:dyDescent="0.3">
      <c r="H4" s="11"/>
      <c r="N4" s="63"/>
      <c r="O4" s="3"/>
      <c r="P4" s="63"/>
      <c r="Q4" s="63"/>
      <c r="R4" s="63"/>
      <c r="S4" s="63"/>
      <c r="T4" s="63"/>
      <c r="U4" s="63"/>
      <c r="V4" s="63"/>
      <c r="W4" s="63"/>
      <c r="X4" s="63"/>
    </row>
    <row r="5" spans="1:56" x14ac:dyDescent="0.25">
      <c r="A5" s="1363" t="s">
        <v>402</v>
      </c>
      <c r="B5" s="1363"/>
      <c r="C5" s="1363"/>
      <c r="D5" s="1363"/>
      <c r="E5" s="1363"/>
      <c r="F5" s="1363"/>
      <c r="G5" s="1363"/>
      <c r="H5" s="1363"/>
      <c r="N5" s="2"/>
      <c r="O5" s="3"/>
      <c r="P5" s="2"/>
      <c r="Q5" s="2"/>
      <c r="R5" s="2"/>
      <c r="S5" s="2"/>
      <c r="T5" s="2"/>
      <c r="U5" s="2"/>
      <c r="V5" s="2"/>
      <c r="W5" s="2"/>
      <c r="X5" s="2"/>
    </row>
    <row r="6" spans="1:56" x14ac:dyDescent="0.25">
      <c r="I6" s="2"/>
      <c r="J6" s="2"/>
      <c r="K6" s="2"/>
      <c r="L6" s="2"/>
      <c r="M6" s="2"/>
      <c r="N6" s="2"/>
      <c r="O6" s="4"/>
      <c r="P6" s="4"/>
      <c r="Q6" s="4"/>
      <c r="R6" s="4"/>
      <c r="S6" s="4"/>
      <c r="T6" s="4"/>
      <c r="U6" s="4"/>
      <c r="V6" s="4"/>
      <c r="W6" s="4"/>
      <c r="X6" s="4"/>
      <c r="Y6" s="4"/>
      <c r="Z6" s="4"/>
      <c r="AA6" s="4"/>
      <c r="AB6" s="4"/>
      <c r="AC6" s="2"/>
      <c r="AD6" s="4"/>
      <c r="AE6" s="2"/>
      <c r="AF6" s="2"/>
      <c r="AG6" s="2"/>
      <c r="AH6" s="2"/>
      <c r="AI6" s="2"/>
      <c r="AJ6" s="2"/>
      <c r="AK6" s="2"/>
      <c r="AL6" s="2"/>
      <c r="AM6" s="2"/>
      <c r="AN6" s="2"/>
      <c r="AO6" s="2"/>
      <c r="AP6" s="2"/>
      <c r="AQ6" s="2"/>
      <c r="AR6" s="2"/>
      <c r="AS6" s="2"/>
      <c r="AT6" s="2"/>
      <c r="AU6" s="2"/>
    </row>
    <row r="7" spans="1:56" x14ac:dyDescent="0.25">
      <c r="A7" s="1281" t="s">
        <v>810</v>
      </c>
      <c r="B7" s="1281"/>
      <c r="C7" s="1281"/>
      <c r="D7" s="1281"/>
      <c r="E7" s="1281"/>
      <c r="F7" s="1281"/>
      <c r="G7" s="1281"/>
      <c r="H7" s="1281"/>
      <c r="I7" s="68"/>
      <c r="J7" s="68"/>
      <c r="K7" s="68"/>
      <c r="L7" s="68"/>
      <c r="M7" s="68"/>
      <c r="N7" s="68"/>
      <c r="O7" s="4"/>
      <c r="P7" s="4"/>
      <c r="Q7" s="4"/>
      <c r="R7" s="4"/>
      <c r="S7" s="4"/>
      <c r="T7" s="4"/>
      <c r="U7" s="4"/>
      <c r="V7" s="4"/>
      <c r="W7" s="4"/>
      <c r="X7" s="4"/>
      <c r="Y7" s="4"/>
      <c r="Z7" s="4"/>
      <c r="AA7" s="4"/>
      <c r="AB7" s="4"/>
      <c r="AC7" s="2"/>
      <c r="AD7" s="4"/>
      <c r="AE7" s="2"/>
      <c r="AF7" s="2"/>
      <c r="AG7" s="2"/>
      <c r="AH7" s="2"/>
      <c r="AI7" s="2"/>
      <c r="AJ7" s="2"/>
      <c r="AK7" s="2"/>
      <c r="AL7" s="2"/>
      <c r="AM7" s="2"/>
      <c r="AN7" s="2"/>
      <c r="AO7" s="2"/>
      <c r="AP7" s="2"/>
      <c r="AQ7" s="2"/>
      <c r="AR7" s="2"/>
      <c r="AS7" s="2"/>
      <c r="AT7" s="2"/>
      <c r="AU7" s="2"/>
    </row>
    <row r="8" spans="1:56" x14ac:dyDescent="0.25">
      <c r="A8" s="1281" t="s">
        <v>313</v>
      </c>
      <c r="B8" s="1281"/>
      <c r="C8" s="1281"/>
      <c r="D8" s="1281"/>
      <c r="E8" s="1281"/>
      <c r="F8" s="1281"/>
      <c r="G8" s="1281"/>
      <c r="H8" s="1281"/>
      <c r="I8" s="31"/>
      <c r="J8" s="31"/>
      <c r="K8" s="31"/>
      <c r="L8" s="31"/>
      <c r="M8" s="31"/>
      <c r="N8" s="31"/>
      <c r="O8" s="4"/>
      <c r="P8" s="4"/>
      <c r="Q8" s="4"/>
      <c r="R8" s="4"/>
      <c r="S8" s="4"/>
      <c r="T8" s="4"/>
      <c r="U8" s="4"/>
      <c r="V8" s="4"/>
      <c r="W8" s="4"/>
      <c r="X8" s="4"/>
      <c r="Y8" s="4"/>
      <c r="Z8" s="4"/>
      <c r="AA8" s="4"/>
      <c r="AB8" s="4"/>
      <c r="AC8" s="63"/>
      <c r="AD8" s="4"/>
      <c r="AE8" s="63"/>
      <c r="AF8" s="63"/>
      <c r="AG8" s="63"/>
      <c r="AH8" s="63"/>
      <c r="AI8" s="63"/>
      <c r="AJ8" s="63"/>
      <c r="AK8" s="63"/>
      <c r="AL8" s="63"/>
      <c r="AM8" s="63"/>
      <c r="AN8" s="63"/>
      <c r="AO8" s="63"/>
      <c r="AP8" s="63"/>
      <c r="AQ8" s="63"/>
      <c r="AR8" s="63"/>
      <c r="AS8" s="63"/>
      <c r="AT8" s="63"/>
      <c r="AU8" s="63"/>
    </row>
    <row r="9" spans="1:56" x14ac:dyDescent="0.25">
      <c r="A9" s="63"/>
      <c r="B9" s="63"/>
      <c r="C9" s="63"/>
      <c r="D9" s="63"/>
      <c r="E9" s="63"/>
      <c r="F9" s="63"/>
      <c r="G9" s="63"/>
      <c r="H9" s="63"/>
      <c r="I9" s="63"/>
      <c r="J9" s="63"/>
      <c r="K9" s="63"/>
      <c r="L9" s="63"/>
      <c r="M9" s="63"/>
      <c r="N9" s="63"/>
      <c r="O9" s="4"/>
      <c r="P9" s="4"/>
      <c r="Q9" s="4"/>
      <c r="R9" s="4"/>
      <c r="S9" s="4"/>
      <c r="T9" s="4"/>
      <c r="U9" s="4"/>
      <c r="V9" s="4"/>
      <c r="W9" s="4"/>
      <c r="X9" s="4"/>
      <c r="Y9" s="4"/>
      <c r="Z9" s="4"/>
      <c r="AA9" s="4"/>
      <c r="AB9" s="4"/>
      <c r="AC9" s="63"/>
      <c r="AD9" s="4"/>
      <c r="AE9" s="63"/>
      <c r="AF9" s="63"/>
      <c r="AG9" s="63"/>
      <c r="AH9" s="63"/>
      <c r="AI9" s="63"/>
      <c r="AJ9" s="63"/>
      <c r="AK9" s="63"/>
      <c r="AL9" s="63"/>
      <c r="AM9" s="63"/>
      <c r="AN9" s="63"/>
      <c r="AO9" s="63"/>
      <c r="AP9" s="63"/>
      <c r="AQ9" s="63"/>
      <c r="AR9" s="63"/>
      <c r="AS9" s="63"/>
      <c r="AT9" s="63"/>
      <c r="AU9" s="63"/>
    </row>
    <row r="10" spans="1:56" ht="26.25" customHeight="1" x14ac:dyDescent="0.25">
      <c r="A10" s="1280" t="s">
        <v>945</v>
      </c>
      <c r="B10" s="1280"/>
      <c r="C10" s="1280"/>
      <c r="D10" s="1280"/>
      <c r="E10" s="1280"/>
      <c r="F10" s="1280"/>
      <c r="G10" s="1280"/>
      <c r="H10" s="1280"/>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row>
    <row r="11" spans="1:56" ht="15" customHeight="1" x14ac:dyDescent="0.25">
      <c r="A11" s="77"/>
      <c r="B11" s="77"/>
      <c r="C11" s="77"/>
      <c r="D11" s="77"/>
      <c r="E11" s="77"/>
      <c r="F11" s="122"/>
      <c r="G11" s="122"/>
      <c r="H11" s="77"/>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row>
    <row r="12" spans="1:56" ht="18" customHeight="1" x14ac:dyDescent="0.25">
      <c r="A12" s="1366" t="s">
        <v>811</v>
      </c>
      <c r="B12" s="1366"/>
      <c r="C12" s="1366"/>
      <c r="D12" s="1366"/>
      <c r="E12" s="1366"/>
      <c r="F12" s="1366"/>
      <c r="G12" s="1366"/>
      <c r="H12" s="1366"/>
      <c r="I12" s="67"/>
      <c r="J12" s="67"/>
      <c r="K12" s="67"/>
      <c r="L12" s="67"/>
      <c r="M12" s="67"/>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13.5" customHeight="1" x14ac:dyDescent="0.25">
      <c r="A13" s="67" t="s">
        <v>315</v>
      </c>
      <c r="B13" s="67"/>
      <c r="C13" s="67"/>
      <c r="D13" s="67"/>
      <c r="E13" s="67"/>
      <c r="F13" s="67"/>
      <c r="G13" s="67"/>
      <c r="H13" s="67"/>
      <c r="I13" s="127"/>
      <c r="J13" s="127"/>
      <c r="K13" s="127"/>
      <c r="L13" s="127"/>
      <c r="M13" s="127"/>
      <c r="N13" s="128"/>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ht="36" customHeight="1" x14ac:dyDescent="0.25">
      <c r="A14" s="1361" t="s">
        <v>510</v>
      </c>
      <c r="B14" s="1362" t="s">
        <v>323</v>
      </c>
      <c r="C14" s="1364" t="s">
        <v>17</v>
      </c>
      <c r="D14" s="1362" t="s">
        <v>322</v>
      </c>
      <c r="E14" s="1362"/>
      <c r="F14" s="1362"/>
      <c r="G14" s="1362"/>
      <c r="H14" s="1362"/>
      <c r="J14" s="1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56" x14ac:dyDescent="0.25">
      <c r="A15" s="1361"/>
      <c r="B15" s="1362"/>
      <c r="C15" s="1365"/>
      <c r="D15" s="121" t="s">
        <v>759</v>
      </c>
      <c r="E15" s="121" t="s">
        <v>760</v>
      </c>
      <c r="F15" s="121" t="s">
        <v>761</v>
      </c>
      <c r="G15" s="121" t="s">
        <v>762</v>
      </c>
      <c r="H15" s="121" t="s">
        <v>763</v>
      </c>
      <c r="J15" s="14"/>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56" x14ac:dyDescent="0.25">
      <c r="A16" s="25">
        <v>1</v>
      </c>
      <c r="B16" s="76">
        <v>2</v>
      </c>
      <c r="C16" s="25">
        <v>3</v>
      </c>
      <c r="D16" s="121">
        <v>4</v>
      </c>
      <c r="E16" s="123">
        <v>5</v>
      </c>
      <c r="F16" s="121">
        <v>4</v>
      </c>
      <c r="G16" s="123">
        <v>5</v>
      </c>
      <c r="H16" s="121">
        <v>6</v>
      </c>
      <c r="J16" s="1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82.5" customHeight="1" x14ac:dyDescent="0.25">
      <c r="A17" s="123">
        <v>1</v>
      </c>
      <c r="B17" s="124" t="s">
        <v>855</v>
      </c>
      <c r="C17" s="125" t="s">
        <v>857</v>
      </c>
      <c r="D17" s="296">
        <v>2.4965299999999999</v>
      </c>
      <c r="E17" s="296">
        <v>2.44028</v>
      </c>
      <c r="F17" s="296">
        <v>2.3780899999999998</v>
      </c>
      <c r="G17" s="296">
        <v>2.3104900000000002</v>
      </c>
      <c r="H17" s="296">
        <v>2.2380399999999998</v>
      </c>
      <c r="J17" s="1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48.75" customHeight="1" x14ac:dyDescent="0.25">
      <c r="A18" s="69">
        <v>2</v>
      </c>
      <c r="B18" s="124" t="s">
        <v>856</v>
      </c>
      <c r="C18" s="126" t="s">
        <v>858</v>
      </c>
      <c r="D18" s="91">
        <v>0.95748</v>
      </c>
      <c r="E18" s="91">
        <v>0.85365000000000002</v>
      </c>
      <c r="F18" s="91">
        <v>0.75878999999999996</v>
      </c>
      <c r="G18" s="91">
        <v>0.67242999999999997</v>
      </c>
      <c r="H18" s="91">
        <v>0.59409999999999996</v>
      </c>
    </row>
    <row r="19" spans="1:48" ht="48" customHeight="1" x14ac:dyDescent="0.25">
      <c r="A19" s="69">
        <v>3</v>
      </c>
      <c r="B19" s="124" t="s">
        <v>854</v>
      </c>
      <c r="C19" s="125"/>
      <c r="D19" s="91">
        <v>1</v>
      </c>
      <c r="E19" s="91">
        <v>1</v>
      </c>
      <c r="F19" s="91">
        <v>1</v>
      </c>
      <c r="G19" s="91">
        <v>1</v>
      </c>
      <c r="H19" s="91">
        <v>1</v>
      </c>
    </row>
    <row r="20" spans="1:48" ht="37.5" customHeight="1" x14ac:dyDescent="0.25">
      <c r="M20" s="27"/>
    </row>
    <row r="21" spans="1:48" ht="50.25" customHeight="1" x14ac:dyDescent="0.25"/>
    <row r="22" spans="1:48" s="131" customFormat="1" ht="18.75" x14ac:dyDescent="0.3">
      <c r="A22" s="130" t="s">
        <v>1743</v>
      </c>
      <c r="B22" s="130"/>
      <c r="C22" s="130"/>
      <c r="D22" s="130"/>
      <c r="E22" s="130"/>
      <c r="F22" s="130"/>
      <c r="G22" s="1360" t="s">
        <v>1652</v>
      </c>
      <c r="H22" s="1360"/>
    </row>
  </sheetData>
  <mergeCells count="10">
    <mergeCell ref="A5:H5"/>
    <mergeCell ref="A7:H7"/>
    <mergeCell ref="A8:H8"/>
    <mergeCell ref="C14:C15"/>
    <mergeCell ref="A12:H12"/>
    <mergeCell ref="G22:H22"/>
    <mergeCell ref="A10:H10"/>
    <mergeCell ref="A14:A15"/>
    <mergeCell ref="B14:B15"/>
    <mergeCell ref="D14:H14"/>
  </mergeCells>
  <pageMargins left="0.70866141732283472" right="0.70866141732283472" top="0.74803149606299213" bottom="0.74803149606299213" header="0.31496062992125984" footer="0.31496062992125984"/>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election activeCell="I15" sqref="I14:I15"/>
    </sheetView>
  </sheetViews>
  <sheetFormatPr defaultRowHeight="15.75" x14ac:dyDescent="0.25"/>
  <cols>
    <col min="2" max="2" width="77" customWidth="1"/>
  </cols>
  <sheetData>
    <row r="1" spans="1:10" ht="18.75" x14ac:dyDescent="0.25">
      <c r="A1" s="32"/>
      <c r="B1" s="16" t="s">
        <v>503</v>
      </c>
      <c r="C1" s="5"/>
      <c r="D1" s="5"/>
      <c r="E1" s="5"/>
      <c r="F1" s="5"/>
      <c r="G1" s="5"/>
      <c r="H1" s="5"/>
      <c r="I1" s="5"/>
    </row>
    <row r="2" spans="1:10" ht="18.75" x14ac:dyDescent="0.3">
      <c r="A2" s="32"/>
      <c r="B2" s="11" t="s">
        <v>1</v>
      </c>
      <c r="C2" s="5"/>
      <c r="D2" s="5"/>
      <c r="E2" s="5"/>
      <c r="F2" s="5"/>
      <c r="G2" s="5"/>
      <c r="H2" s="5"/>
      <c r="I2" s="5"/>
    </row>
    <row r="3" spans="1:10" ht="18.75" x14ac:dyDescent="0.3">
      <c r="A3" s="32"/>
      <c r="B3" s="11" t="s">
        <v>265</v>
      </c>
      <c r="C3" s="5"/>
      <c r="D3" s="5"/>
      <c r="E3" s="5"/>
      <c r="F3" s="5"/>
      <c r="G3" s="5"/>
      <c r="H3" s="5"/>
      <c r="I3" s="5"/>
    </row>
    <row r="4" spans="1:10" ht="18.75" x14ac:dyDescent="0.3">
      <c r="A4" s="32"/>
      <c r="B4" s="11"/>
      <c r="C4" s="5"/>
      <c r="D4" s="5"/>
      <c r="E4" s="5"/>
      <c r="F4" s="5"/>
      <c r="G4" s="5"/>
      <c r="H4" s="5"/>
      <c r="I4" s="5"/>
    </row>
    <row r="5" spans="1:10" ht="171" customHeight="1" x14ac:dyDescent="0.3">
      <c r="A5" s="1368" t="s">
        <v>513</v>
      </c>
      <c r="B5" s="1368"/>
      <c r="C5" s="58"/>
      <c r="D5" s="58"/>
      <c r="E5" s="58"/>
      <c r="F5" s="58"/>
      <c r="G5" s="58"/>
      <c r="H5" s="58"/>
      <c r="I5" s="58"/>
      <c r="J5" s="58"/>
    </row>
    <row r="6" spans="1:10" ht="20.25" customHeight="1" x14ac:dyDescent="0.3">
      <c r="A6" s="83"/>
      <c r="B6" s="83"/>
      <c r="C6" s="58"/>
      <c r="D6" s="58"/>
      <c r="E6" s="58"/>
      <c r="F6" s="58"/>
      <c r="G6" s="58"/>
      <c r="H6" s="58"/>
      <c r="I6" s="58"/>
      <c r="J6" s="58"/>
    </row>
    <row r="7" spans="1:10" ht="18.75" x14ac:dyDescent="0.3">
      <c r="A7" s="1367" t="s">
        <v>54</v>
      </c>
      <c r="B7" s="1367"/>
      <c r="C7" s="30"/>
      <c r="D7" s="30"/>
      <c r="E7" s="30"/>
      <c r="F7" s="5"/>
      <c r="G7" s="5"/>
      <c r="H7" s="5"/>
      <c r="I7" s="5"/>
      <c r="J7" s="5"/>
    </row>
    <row r="9" spans="1:10" ht="69" customHeight="1" x14ac:dyDescent="0.25">
      <c r="A9" s="69" t="s">
        <v>510</v>
      </c>
      <c r="B9" s="76" t="s">
        <v>61</v>
      </c>
    </row>
    <row r="10" spans="1:10" x14ac:dyDescent="0.25">
      <c r="A10" s="91">
        <v>1</v>
      </c>
      <c r="B10" s="91">
        <v>2</v>
      </c>
    </row>
    <row r="11" spans="1:10" x14ac:dyDescent="0.25">
      <c r="A11" s="15"/>
      <c r="B11" s="15"/>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pageSetUpPr fitToPage="1"/>
  </sheetPr>
  <dimension ref="A1:AT76"/>
  <sheetViews>
    <sheetView view="pageBreakPreview" zoomScale="80" zoomScaleNormal="80" zoomScaleSheetLayoutView="80" workbookViewId="0">
      <selection activeCell="E20" sqref="E20"/>
    </sheetView>
  </sheetViews>
  <sheetFormatPr defaultRowHeight="15.75" outlineLevelRow="4" x14ac:dyDescent="0.25"/>
  <cols>
    <col min="1" max="1" width="8.875" style="617" customWidth="1"/>
    <col min="2" max="2" width="72.75" style="618" customWidth="1"/>
    <col min="3" max="3" width="10.75" style="619" customWidth="1"/>
    <col min="4" max="4" width="13.375" style="591" customWidth="1"/>
    <col min="5" max="5" width="13.25" style="591" customWidth="1"/>
    <col min="6" max="7" width="13.375" style="591" customWidth="1"/>
    <col min="8" max="8" width="14.875" style="591" customWidth="1"/>
    <col min="9" max="9" width="11.375" style="591" customWidth="1"/>
    <col min="10" max="250" width="9" style="591" customWidth="1"/>
    <col min="251" max="251" width="8.875" style="591" customWidth="1"/>
    <col min="252" max="252" width="72.75" style="591" customWidth="1"/>
    <col min="253" max="253" width="10.75" style="591" customWidth="1"/>
    <col min="254" max="254" width="8.625" style="591" customWidth="1"/>
    <col min="255" max="16384" width="9" style="591"/>
  </cols>
  <sheetData>
    <row r="1" spans="1:46" x14ac:dyDescent="0.25">
      <c r="A1" s="588"/>
      <c r="B1" s="588"/>
      <c r="C1" s="588"/>
      <c r="D1" s="588"/>
      <c r="E1" s="588"/>
      <c r="F1" s="588"/>
      <c r="G1" s="588"/>
      <c r="H1" s="589" t="s">
        <v>955</v>
      </c>
      <c r="I1" s="588"/>
      <c r="J1" s="588"/>
      <c r="K1" s="588"/>
      <c r="L1" s="588"/>
      <c r="M1" s="588"/>
      <c r="N1" s="588"/>
      <c r="O1" s="588"/>
      <c r="P1" s="590"/>
      <c r="Q1" s="590"/>
      <c r="R1" s="590"/>
      <c r="S1" s="590"/>
      <c r="T1" s="590"/>
      <c r="U1" s="590"/>
      <c r="V1" s="588"/>
      <c r="W1" s="590"/>
      <c r="X1" s="590"/>
      <c r="Y1" s="590"/>
      <c r="Z1" s="588"/>
      <c r="AA1" s="588"/>
      <c r="AB1" s="588"/>
      <c r="AC1" s="588"/>
      <c r="AD1" s="588"/>
      <c r="AE1" s="588"/>
      <c r="AF1" s="588"/>
      <c r="AG1" s="588"/>
      <c r="AH1" s="588"/>
      <c r="AI1" s="588"/>
      <c r="AJ1" s="588"/>
      <c r="AK1" s="588"/>
      <c r="AL1" s="588"/>
      <c r="AN1" s="588"/>
      <c r="AO1" s="588"/>
      <c r="AP1" s="588"/>
      <c r="AQ1" s="588"/>
      <c r="AR1" s="588"/>
      <c r="AS1" s="588"/>
      <c r="AT1" s="588"/>
    </row>
    <row r="2" spans="1:46" x14ac:dyDescent="0.25">
      <c r="A2" s="588"/>
      <c r="B2" s="588"/>
      <c r="C2" s="588"/>
      <c r="D2" s="588"/>
      <c r="E2" s="588"/>
      <c r="F2" s="588"/>
      <c r="G2" s="588"/>
      <c r="H2" s="588"/>
      <c r="I2" s="588"/>
      <c r="J2" s="588"/>
      <c r="K2" s="588"/>
      <c r="L2" s="588"/>
      <c r="M2" s="588"/>
      <c r="N2" s="588"/>
      <c r="O2" s="588"/>
      <c r="P2" s="590"/>
      <c r="Q2" s="590"/>
      <c r="R2" s="590"/>
      <c r="S2" s="590"/>
      <c r="T2" s="590"/>
      <c r="U2" s="590"/>
      <c r="V2" s="588"/>
      <c r="W2" s="590"/>
      <c r="X2" s="590"/>
      <c r="Y2" s="590"/>
      <c r="Z2" s="588"/>
      <c r="AA2" s="588"/>
      <c r="AB2" s="588"/>
      <c r="AC2" s="588"/>
      <c r="AD2" s="588"/>
      <c r="AE2" s="588"/>
      <c r="AF2" s="588"/>
      <c r="AG2" s="588"/>
      <c r="AH2" s="588"/>
      <c r="AI2" s="588"/>
      <c r="AJ2" s="588"/>
      <c r="AK2" s="588"/>
      <c r="AL2" s="588"/>
      <c r="AN2" s="588"/>
      <c r="AO2" s="588"/>
      <c r="AP2" s="588"/>
      <c r="AQ2" s="588"/>
      <c r="AR2" s="588"/>
      <c r="AS2" s="588"/>
      <c r="AT2" s="588"/>
    </row>
    <row r="3" spans="1:46" ht="20.25" customHeight="1" x14ac:dyDescent="0.25">
      <c r="A3" s="1371" t="s">
        <v>956</v>
      </c>
      <c r="B3" s="1371"/>
      <c r="C3" s="1371"/>
      <c r="D3" s="1371"/>
      <c r="E3" s="1371"/>
      <c r="F3" s="1371"/>
      <c r="G3" s="1371"/>
      <c r="H3" s="1371"/>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row>
    <row r="4" spans="1:46" ht="15.75" customHeight="1" x14ac:dyDescent="0.25">
      <c r="A4" s="1372" t="s">
        <v>957</v>
      </c>
      <c r="B4" s="1372"/>
      <c r="C4" s="1372"/>
      <c r="D4" s="1372"/>
      <c r="E4" s="1372"/>
      <c r="F4" s="1372"/>
      <c r="G4" s="1372"/>
      <c r="H4" s="137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88"/>
      <c r="AO4" s="588"/>
      <c r="AP4" s="588"/>
      <c r="AQ4" s="588"/>
      <c r="AR4" s="588"/>
      <c r="AS4" s="588"/>
      <c r="AT4" s="588"/>
    </row>
    <row r="5" spans="1:46" ht="12.6" customHeight="1" x14ac:dyDescent="0.25">
      <c r="A5" s="1373"/>
      <c r="B5" s="1373"/>
      <c r="C5" s="1373"/>
      <c r="D5" s="1373"/>
      <c r="E5" s="1373"/>
      <c r="F5" s="1373"/>
      <c r="G5" s="1373"/>
      <c r="H5" s="1373"/>
    </row>
    <row r="6" spans="1:46" ht="21.75" customHeight="1" x14ac:dyDescent="0.25">
      <c r="A6" s="1374" t="s">
        <v>958</v>
      </c>
      <c r="B6" s="1374"/>
      <c r="C6" s="1374"/>
      <c r="D6" s="1374"/>
      <c r="E6" s="1374"/>
      <c r="F6" s="1374"/>
      <c r="G6" s="1374"/>
      <c r="H6" s="1374"/>
    </row>
    <row r="7" spans="1:46" x14ac:dyDescent="0.25">
      <c r="A7" s="1375" t="s">
        <v>959</v>
      </c>
      <c r="B7" s="1375"/>
      <c r="C7" s="1375"/>
      <c r="D7" s="1375"/>
      <c r="E7" s="1375"/>
      <c r="F7" s="1375"/>
      <c r="G7" s="1375"/>
      <c r="H7" s="1375"/>
    </row>
    <row r="8" spans="1:46" ht="9" customHeight="1" x14ac:dyDescent="0.25">
      <c r="A8" s="1376"/>
      <c r="B8" s="1376"/>
      <c r="C8" s="1376"/>
      <c r="D8" s="1376"/>
      <c r="E8" s="1376"/>
      <c r="F8" s="1376"/>
      <c r="G8" s="1376"/>
      <c r="H8" s="1376"/>
    </row>
    <row r="9" spans="1:46" ht="18.75" x14ac:dyDescent="0.25">
      <c r="A9" s="1374" t="s">
        <v>691</v>
      </c>
      <c r="B9" s="1374"/>
      <c r="C9" s="1374"/>
      <c r="D9" s="1374"/>
      <c r="E9" s="1374"/>
      <c r="F9" s="1374"/>
      <c r="G9" s="1374"/>
      <c r="H9" s="1374"/>
    </row>
    <row r="10" spans="1:46" x14ac:dyDescent="0.25">
      <c r="A10" s="1377" t="s">
        <v>960</v>
      </c>
      <c r="B10" s="1377"/>
      <c r="C10" s="1377"/>
      <c r="D10" s="1377"/>
      <c r="E10" s="1377"/>
      <c r="F10" s="1377"/>
      <c r="G10" s="1377"/>
      <c r="H10" s="1377"/>
    </row>
    <row r="11" spans="1:46" ht="16.5" thickBot="1" x14ac:dyDescent="0.3">
      <c r="A11" s="591"/>
      <c r="B11" s="591"/>
      <c r="C11" s="591"/>
    </row>
    <row r="12" spans="1:46" ht="33" customHeight="1" x14ac:dyDescent="0.25">
      <c r="A12" s="1378" t="s">
        <v>510</v>
      </c>
      <c r="B12" s="1380" t="s">
        <v>961</v>
      </c>
      <c r="C12" s="1382" t="s">
        <v>962</v>
      </c>
      <c r="D12" s="593" t="s">
        <v>963</v>
      </c>
      <c r="E12" s="594" t="s">
        <v>964</v>
      </c>
      <c r="F12" s="594" t="s">
        <v>965</v>
      </c>
      <c r="G12" s="594" t="s">
        <v>966</v>
      </c>
      <c r="H12" s="593" t="s">
        <v>967</v>
      </c>
    </row>
    <row r="13" spans="1:46" ht="44.25" customHeight="1" x14ac:dyDescent="0.25">
      <c r="A13" s="1379"/>
      <c r="B13" s="1381"/>
      <c r="C13" s="1383"/>
      <c r="D13" s="595" t="s">
        <v>968</v>
      </c>
      <c r="E13" s="595" t="s">
        <v>968</v>
      </c>
      <c r="F13" s="595" t="s">
        <v>968</v>
      </c>
      <c r="G13" s="595" t="s">
        <v>968</v>
      </c>
      <c r="H13" s="595" t="s">
        <v>968</v>
      </c>
    </row>
    <row r="14" spans="1:46" ht="16.5" thickBot="1" x14ac:dyDescent="0.3">
      <c r="A14" s="596">
        <v>1</v>
      </c>
      <c r="B14" s="597">
        <v>2</v>
      </c>
      <c r="C14" s="598">
        <v>3</v>
      </c>
      <c r="D14" s="599">
        <v>4</v>
      </c>
      <c r="E14" s="599">
        <v>5</v>
      </c>
      <c r="F14" s="599">
        <v>6</v>
      </c>
      <c r="G14" s="599"/>
      <c r="H14" s="599">
        <v>5</v>
      </c>
    </row>
    <row r="15" spans="1:46" ht="30.75" customHeight="1" x14ac:dyDescent="0.25">
      <c r="A15" s="1369" t="s">
        <v>969</v>
      </c>
      <c r="B15" s="1370"/>
      <c r="C15" s="600" t="s">
        <v>970</v>
      </c>
      <c r="D15" s="622">
        <f>D16+D61</f>
        <v>60.49</v>
      </c>
      <c r="E15" s="622">
        <f>E16+E61</f>
        <v>102.25</v>
      </c>
      <c r="F15" s="622">
        <f>F16+F61</f>
        <v>86.43</v>
      </c>
      <c r="G15" s="622">
        <f>G16+G61</f>
        <v>88.21</v>
      </c>
      <c r="H15" s="622">
        <f>H16+H61</f>
        <v>96.56</v>
      </c>
      <c r="I15" s="631"/>
    </row>
    <row r="16" spans="1:46" x14ac:dyDescent="0.25">
      <c r="A16" s="601" t="s">
        <v>971</v>
      </c>
      <c r="B16" s="602" t="s">
        <v>972</v>
      </c>
      <c r="C16" s="603" t="s">
        <v>970</v>
      </c>
      <c r="D16" s="623">
        <f>D17+D35+D57+D58</f>
        <v>60.49</v>
      </c>
      <c r="E16" s="623">
        <f>E17+E35+E57+E58</f>
        <v>102.25</v>
      </c>
      <c r="F16" s="623">
        <f>F17+F35+F57+F58</f>
        <v>86.43</v>
      </c>
      <c r="G16" s="623">
        <f>G17+G35+G57+G58</f>
        <v>88.21</v>
      </c>
      <c r="H16" s="623">
        <f>H17+H35+H57+H58</f>
        <v>96.56</v>
      </c>
    </row>
    <row r="17" spans="1:8" outlineLevel="1" x14ac:dyDescent="0.25">
      <c r="A17" s="604" t="s">
        <v>538</v>
      </c>
      <c r="B17" s="605" t="s">
        <v>973</v>
      </c>
      <c r="C17" s="600" t="s">
        <v>970</v>
      </c>
      <c r="D17" s="629">
        <f>D18+D28+D29+D34</f>
        <v>0</v>
      </c>
      <c r="E17" s="629">
        <f>E18+E28+E29+E34</f>
        <v>26.88</v>
      </c>
      <c r="F17" s="629">
        <f>F18+F28+F29+F34</f>
        <v>10.66</v>
      </c>
      <c r="G17" s="629">
        <f>G18+G28+G29+G34</f>
        <v>12</v>
      </c>
      <c r="H17" s="629">
        <f>H18+H28+H29+H34</f>
        <v>18.63</v>
      </c>
    </row>
    <row r="18" spans="1:8" outlineLevel="2" x14ac:dyDescent="0.25">
      <c r="A18" s="604" t="s">
        <v>540</v>
      </c>
      <c r="B18" s="606" t="s">
        <v>974</v>
      </c>
      <c r="C18" s="600" t="s">
        <v>970</v>
      </c>
      <c r="D18" s="629">
        <f>SUM(D19:D25)</f>
        <v>0</v>
      </c>
      <c r="E18" s="629">
        <f>SUM(E19:E25)</f>
        <v>26.88</v>
      </c>
      <c r="F18" s="629">
        <f>SUM(F19:F25)</f>
        <v>10.66</v>
      </c>
      <c r="G18" s="629">
        <f>SUM(G19:G25)</f>
        <v>12</v>
      </c>
      <c r="H18" s="629">
        <f>SUM(H19:H25)</f>
        <v>18.63</v>
      </c>
    </row>
    <row r="19" spans="1:8" outlineLevel="3" x14ac:dyDescent="0.25">
      <c r="A19" s="604" t="s">
        <v>568</v>
      </c>
      <c r="B19" s="607" t="s">
        <v>975</v>
      </c>
      <c r="C19" s="600" t="s">
        <v>970</v>
      </c>
      <c r="D19" s="629"/>
      <c r="E19" s="629"/>
      <c r="F19" s="629"/>
      <c r="G19" s="629"/>
      <c r="H19" s="629"/>
    </row>
    <row r="20" spans="1:8" outlineLevel="3" x14ac:dyDescent="0.25">
      <c r="A20" s="604" t="s">
        <v>569</v>
      </c>
      <c r="B20" s="607" t="s">
        <v>976</v>
      </c>
      <c r="C20" s="600" t="s">
        <v>970</v>
      </c>
      <c r="D20" s="629">
        <v>0</v>
      </c>
      <c r="E20" s="629">
        <f>'2 (цены с НДС)'!BA18/1.2</f>
        <v>26.88</v>
      </c>
      <c r="F20" s="629">
        <f>'2 (цены с НДС)'!BK18/1.2</f>
        <v>10.66</v>
      </c>
      <c r="G20" s="629">
        <f>'2 (цены с НДС)'!BU18/1.2</f>
        <v>12</v>
      </c>
      <c r="H20" s="629">
        <f>'2 (цены с НДС)'!CE18/1.2</f>
        <v>18.63</v>
      </c>
    </row>
    <row r="21" spans="1:8" outlineLevel="3" x14ac:dyDescent="0.25">
      <c r="A21" s="604" t="s">
        <v>570</v>
      </c>
      <c r="B21" s="607" t="s">
        <v>977</v>
      </c>
      <c r="C21" s="600" t="s">
        <v>970</v>
      </c>
      <c r="D21" s="629"/>
      <c r="E21" s="629"/>
      <c r="F21" s="629"/>
      <c r="G21" s="629"/>
      <c r="H21" s="629"/>
    </row>
    <row r="22" spans="1:8" outlineLevel="3" x14ac:dyDescent="0.25">
      <c r="A22" s="604" t="s">
        <v>571</v>
      </c>
      <c r="B22" s="607" t="s">
        <v>978</v>
      </c>
      <c r="C22" s="600" t="s">
        <v>970</v>
      </c>
      <c r="D22" s="629"/>
      <c r="E22" s="629"/>
      <c r="F22" s="629"/>
      <c r="G22" s="629"/>
      <c r="H22" s="629"/>
    </row>
    <row r="23" spans="1:8" outlineLevel="3" x14ac:dyDescent="0.25">
      <c r="A23" s="604" t="s">
        <v>979</v>
      </c>
      <c r="B23" s="607" t="s">
        <v>980</v>
      </c>
      <c r="C23" s="600" t="s">
        <v>970</v>
      </c>
      <c r="D23" s="629"/>
      <c r="E23" s="629"/>
      <c r="F23" s="629"/>
      <c r="G23" s="629"/>
      <c r="H23" s="629"/>
    </row>
    <row r="24" spans="1:8" outlineLevel="3" x14ac:dyDescent="0.25">
      <c r="A24" s="604" t="s">
        <v>981</v>
      </c>
      <c r="B24" s="607" t="s">
        <v>982</v>
      </c>
      <c r="C24" s="600" t="s">
        <v>970</v>
      </c>
      <c r="D24" s="629"/>
      <c r="E24" s="629"/>
      <c r="F24" s="629"/>
      <c r="G24" s="629"/>
      <c r="H24" s="629"/>
    </row>
    <row r="25" spans="1:8" ht="28.5" customHeight="1" outlineLevel="3" x14ac:dyDescent="0.25">
      <c r="A25" s="604" t="s">
        <v>983</v>
      </c>
      <c r="B25" s="607" t="s">
        <v>984</v>
      </c>
      <c r="C25" s="600" t="s">
        <v>970</v>
      </c>
      <c r="D25" s="629">
        <f>D26+D27</f>
        <v>0</v>
      </c>
      <c r="E25" s="629">
        <f>E26+E27</f>
        <v>0</v>
      </c>
      <c r="F25" s="629">
        <f>F26+F27</f>
        <v>0</v>
      </c>
      <c r="G25" s="629">
        <f>G26+G27</f>
        <v>0</v>
      </c>
      <c r="H25" s="629">
        <f>H26+H27</f>
        <v>0</v>
      </c>
    </row>
    <row r="26" spans="1:8" ht="18" customHeight="1" outlineLevel="4" x14ac:dyDescent="0.25">
      <c r="A26" s="604" t="s">
        <v>985</v>
      </c>
      <c r="B26" s="608" t="s">
        <v>986</v>
      </c>
      <c r="C26" s="600" t="s">
        <v>970</v>
      </c>
      <c r="D26" s="629"/>
      <c r="E26" s="629"/>
      <c r="F26" s="629"/>
      <c r="G26" s="629"/>
      <c r="H26" s="629"/>
    </row>
    <row r="27" spans="1:8" ht="18" customHeight="1" outlineLevel="4" x14ac:dyDescent="0.25">
      <c r="A27" s="604" t="s">
        <v>987</v>
      </c>
      <c r="B27" s="608" t="s">
        <v>988</v>
      </c>
      <c r="C27" s="600" t="s">
        <v>970</v>
      </c>
      <c r="D27" s="629"/>
      <c r="E27" s="629"/>
      <c r="F27" s="629"/>
      <c r="G27" s="629"/>
      <c r="H27" s="629"/>
    </row>
    <row r="28" spans="1:8" outlineLevel="2" x14ac:dyDescent="0.25">
      <c r="A28" s="604" t="s">
        <v>541</v>
      </c>
      <c r="B28" s="609" t="s">
        <v>989</v>
      </c>
      <c r="C28" s="600" t="s">
        <v>970</v>
      </c>
      <c r="D28" s="629"/>
      <c r="E28" s="629"/>
      <c r="F28" s="629"/>
      <c r="G28" s="629"/>
      <c r="H28" s="629"/>
    </row>
    <row r="29" spans="1:8" outlineLevel="2" x14ac:dyDescent="0.25">
      <c r="A29" s="604" t="s">
        <v>542</v>
      </c>
      <c r="B29" s="609" t="s">
        <v>990</v>
      </c>
      <c r="C29" s="600" t="s">
        <v>970</v>
      </c>
      <c r="D29" s="629"/>
      <c r="E29" s="629"/>
      <c r="F29" s="629"/>
      <c r="G29" s="629"/>
      <c r="H29" s="629"/>
    </row>
    <row r="30" spans="1:8" outlineLevel="2" x14ac:dyDescent="0.25">
      <c r="A30" s="604" t="s">
        <v>576</v>
      </c>
      <c r="B30" s="607" t="s">
        <v>991</v>
      </c>
      <c r="C30" s="600" t="s">
        <v>970</v>
      </c>
      <c r="D30" s="629"/>
      <c r="E30" s="629"/>
      <c r="F30" s="629"/>
      <c r="G30" s="629"/>
      <c r="H30" s="629"/>
    </row>
    <row r="31" spans="1:8" outlineLevel="2" x14ac:dyDescent="0.25">
      <c r="A31" s="604" t="s">
        <v>992</v>
      </c>
      <c r="B31" s="608" t="s">
        <v>993</v>
      </c>
      <c r="C31" s="600" t="s">
        <v>970</v>
      </c>
      <c r="D31" s="629"/>
      <c r="E31" s="629"/>
      <c r="F31" s="629"/>
      <c r="G31" s="629"/>
      <c r="H31" s="629"/>
    </row>
    <row r="32" spans="1:8" outlineLevel="2" x14ac:dyDescent="0.25">
      <c r="A32" s="604" t="s">
        <v>577</v>
      </c>
      <c r="B32" s="607" t="s">
        <v>994</v>
      </c>
      <c r="C32" s="600" t="s">
        <v>970</v>
      </c>
      <c r="D32" s="629"/>
      <c r="E32" s="629"/>
      <c r="F32" s="629"/>
      <c r="G32" s="629"/>
      <c r="H32" s="629"/>
    </row>
    <row r="33" spans="1:8" outlineLevel="2" x14ac:dyDescent="0.25">
      <c r="A33" s="604" t="s">
        <v>995</v>
      </c>
      <c r="B33" s="608" t="s">
        <v>993</v>
      </c>
      <c r="C33" s="600" t="s">
        <v>970</v>
      </c>
      <c r="D33" s="629"/>
      <c r="E33" s="629"/>
      <c r="F33" s="629"/>
      <c r="G33" s="629"/>
      <c r="H33" s="629"/>
    </row>
    <row r="34" spans="1:8" outlineLevel="2" x14ac:dyDescent="0.25">
      <c r="A34" s="604" t="s">
        <v>543</v>
      </c>
      <c r="B34" s="609" t="s">
        <v>996</v>
      </c>
      <c r="C34" s="600" t="s">
        <v>970</v>
      </c>
      <c r="D34" s="629"/>
      <c r="E34" s="629"/>
      <c r="F34" s="629"/>
      <c r="G34" s="629"/>
      <c r="H34" s="629"/>
    </row>
    <row r="35" spans="1:8" outlineLevel="1" x14ac:dyDescent="0.25">
      <c r="A35" s="604" t="s">
        <v>539</v>
      </c>
      <c r="B35" s="610" t="s">
        <v>997</v>
      </c>
      <c r="C35" s="600" t="s">
        <v>970</v>
      </c>
      <c r="D35" s="629">
        <f>D36+D46+D47</f>
        <v>60.49</v>
      </c>
      <c r="E35" s="629">
        <f>E36+E46+E47</f>
        <v>75.37</v>
      </c>
      <c r="F35" s="629">
        <f>F36+F46+F47</f>
        <v>75.77</v>
      </c>
      <c r="G35" s="629">
        <f>G36+G46+G47</f>
        <v>76.209999999999994</v>
      </c>
      <c r="H35" s="629">
        <f>H36+H46+H47</f>
        <v>77.930000000000007</v>
      </c>
    </row>
    <row r="36" spans="1:8" outlineLevel="2" x14ac:dyDescent="0.25">
      <c r="A36" s="604" t="s">
        <v>544</v>
      </c>
      <c r="B36" s="609" t="s">
        <v>998</v>
      </c>
      <c r="C36" s="600" t="s">
        <v>970</v>
      </c>
      <c r="D36" s="629">
        <f>SUM(D37:D43)</f>
        <v>60.49</v>
      </c>
      <c r="E36" s="629">
        <f>SUM(E37:E43)</f>
        <v>75.37</v>
      </c>
      <c r="F36" s="629">
        <f>SUM(F37:F43)</f>
        <v>75.77</v>
      </c>
      <c r="G36" s="629">
        <f>SUM(G37:G43)</f>
        <v>76.209999999999994</v>
      </c>
      <c r="H36" s="629">
        <f>SUM(H37:H43)</f>
        <v>77.930000000000007</v>
      </c>
    </row>
    <row r="37" spans="1:8" outlineLevel="3" x14ac:dyDescent="0.25">
      <c r="A37" s="604" t="s">
        <v>591</v>
      </c>
      <c r="B37" s="607" t="s">
        <v>975</v>
      </c>
      <c r="C37" s="600" t="s">
        <v>970</v>
      </c>
      <c r="D37" s="629"/>
      <c r="E37" s="629"/>
      <c r="F37" s="629"/>
      <c r="G37" s="629"/>
      <c r="H37" s="629"/>
    </row>
    <row r="38" spans="1:8" outlineLevel="3" x14ac:dyDescent="0.25">
      <c r="A38" s="604" t="s">
        <v>592</v>
      </c>
      <c r="B38" s="607" t="s">
        <v>976</v>
      </c>
      <c r="C38" s="600" t="s">
        <v>970</v>
      </c>
      <c r="D38" s="629">
        <f>'2 (цены с НДС)'!AR18/1.2</f>
        <v>60.49</v>
      </c>
      <c r="E38" s="629">
        <f>'2 (цены с НДС)'!BB18/1.2</f>
        <v>75.37</v>
      </c>
      <c r="F38" s="629">
        <f>'2 (цены с НДС)'!BL18/1.2</f>
        <v>75.77</v>
      </c>
      <c r="G38" s="629">
        <f>'2 (цены с НДС)'!BV18/1.2</f>
        <v>76.209999999999994</v>
      </c>
      <c r="H38" s="629">
        <f>'2 (цены с НДС)'!CF18/1.2</f>
        <v>77.930000000000007</v>
      </c>
    </row>
    <row r="39" spans="1:8" outlineLevel="3" x14ac:dyDescent="0.25">
      <c r="A39" s="604" t="s">
        <v>593</v>
      </c>
      <c r="B39" s="607" t="s">
        <v>977</v>
      </c>
      <c r="C39" s="600" t="s">
        <v>970</v>
      </c>
      <c r="D39" s="629"/>
      <c r="E39" s="629"/>
      <c r="F39" s="629"/>
      <c r="G39" s="629"/>
      <c r="H39" s="629"/>
    </row>
    <row r="40" spans="1:8" outlineLevel="3" x14ac:dyDescent="0.25">
      <c r="A40" s="604" t="s">
        <v>594</v>
      </c>
      <c r="B40" s="607" t="s">
        <v>978</v>
      </c>
      <c r="C40" s="600" t="s">
        <v>970</v>
      </c>
      <c r="D40" s="629"/>
      <c r="E40" s="629"/>
      <c r="F40" s="629"/>
      <c r="G40" s="629"/>
      <c r="H40" s="629"/>
    </row>
    <row r="41" spans="1:8" outlineLevel="3" x14ac:dyDescent="0.25">
      <c r="A41" s="604" t="s">
        <v>999</v>
      </c>
      <c r="B41" s="607" t="s">
        <v>980</v>
      </c>
      <c r="C41" s="600" t="s">
        <v>970</v>
      </c>
      <c r="D41" s="629"/>
      <c r="E41" s="629"/>
      <c r="F41" s="629"/>
      <c r="G41" s="629"/>
      <c r="H41" s="629"/>
    </row>
    <row r="42" spans="1:8" outlineLevel="3" x14ac:dyDescent="0.25">
      <c r="A42" s="604" t="s">
        <v>1000</v>
      </c>
      <c r="B42" s="607" t="s">
        <v>982</v>
      </c>
      <c r="C42" s="600" t="s">
        <v>970</v>
      </c>
      <c r="D42" s="629"/>
      <c r="E42" s="629"/>
      <c r="F42" s="629"/>
      <c r="G42" s="629"/>
      <c r="H42" s="629"/>
    </row>
    <row r="43" spans="1:8" ht="31.5" outlineLevel="3" x14ac:dyDescent="0.25">
      <c r="A43" s="604" t="s">
        <v>1001</v>
      </c>
      <c r="B43" s="607" t="s">
        <v>984</v>
      </c>
      <c r="C43" s="600" t="s">
        <v>970</v>
      </c>
      <c r="D43" s="629">
        <f>D44+D45</f>
        <v>0</v>
      </c>
      <c r="E43" s="629">
        <f>E44+E45</f>
        <v>0</v>
      </c>
      <c r="F43" s="629">
        <f>F44+F45</f>
        <v>0</v>
      </c>
      <c r="G43" s="629">
        <f>G44+G45</f>
        <v>0</v>
      </c>
      <c r="H43" s="629">
        <f>H44+H45</f>
        <v>0</v>
      </c>
    </row>
    <row r="44" spans="1:8" outlineLevel="4" x14ac:dyDescent="0.25">
      <c r="A44" s="604" t="s">
        <v>1002</v>
      </c>
      <c r="B44" s="608" t="s">
        <v>986</v>
      </c>
      <c r="C44" s="600" t="s">
        <v>970</v>
      </c>
      <c r="D44" s="629"/>
      <c r="E44" s="629"/>
      <c r="F44" s="629"/>
      <c r="G44" s="629"/>
      <c r="H44" s="629"/>
    </row>
    <row r="45" spans="1:8" outlineLevel="4" x14ac:dyDescent="0.25">
      <c r="A45" s="604" t="s">
        <v>1003</v>
      </c>
      <c r="B45" s="608" t="s">
        <v>988</v>
      </c>
      <c r="C45" s="600" t="s">
        <v>970</v>
      </c>
      <c r="D45" s="629"/>
      <c r="E45" s="629"/>
      <c r="F45" s="629"/>
      <c r="G45" s="629"/>
      <c r="H45" s="629"/>
    </row>
    <row r="46" spans="1:8" outlineLevel="2" x14ac:dyDescent="0.25">
      <c r="A46" s="604" t="s">
        <v>545</v>
      </c>
      <c r="B46" s="609" t="s">
        <v>1004</v>
      </c>
      <c r="C46" s="600" t="s">
        <v>970</v>
      </c>
      <c r="D46" s="629"/>
      <c r="E46" s="629"/>
      <c r="F46" s="629"/>
      <c r="G46" s="629"/>
      <c r="H46" s="629"/>
    </row>
    <row r="47" spans="1:8" outlineLevel="2" x14ac:dyDescent="0.25">
      <c r="A47" s="604" t="s">
        <v>546</v>
      </c>
      <c r="B47" s="609" t="s">
        <v>1005</v>
      </c>
      <c r="C47" s="600" t="s">
        <v>970</v>
      </c>
      <c r="D47" s="629">
        <f>SUM(D48:D54)</f>
        <v>0</v>
      </c>
      <c r="E47" s="629">
        <f>SUM(E48:E54)</f>
        <v>0</v>
      </c>
      <c r="F47" s="629">
        <f>SUM(F48:F54)</f>
        <v>0</v>
      </c>
      <c r="G47" s="629">
        <f>SUM(G48:G54)</f>
        <v>0</v>
      </c>
      <c r="H47" s="629">
        <f>SUM(H48:H54)</f>
        <v>0</v>
      </c>
    </row>
    <row r="48" spans="1:8" outlineLevel="3" x14ac:dyDescent="0.25">
      <c r="A48" s="611" t="s">
        <v>599</v>
      </c>
      <c r="B48" s="607" t="s">
        <v>975</v>
      </c>
      <c r="C48" s="600" t="s">
        <v>970</v>
      </c>
      <c r="D48" s="629"/>
      <c r="E48" s="629"/>
      <c r="F48" s="629"/>
      <c r="G48" s="629"/>
      <c r="H48" s="629"/>
    </row>
    <row r="49" spans="1:9" outlineLevel="3" x14ac:dyDescent="0.25">
      <c r="A49" s="611" t="s">
        <v>600</v>
      </c>
      <c r="B49" s="607" t="s">
        <v>976</v>
      </c>
      <c r="C49" s="600" t="s">
        <v>970</v>
      </c>
      <c r="D49" s="629"/>
      <c r="E49" s="629"/>
      <c r="F49" s="629"/>
      <c r="G49" s="629"/>
      <c r="H49" s="629"/>
    </row>
    <row r="50" spans="1:9" outlineLevel="3" x14ac:dyDescent="0.25">
      <c r="A50" s="611" t="s">
        <v>601</v>
      </c>
      <c r="B50" s="607" t="s">
        <v>977</v>
      </c>
      <c r="C50" s="600" t="s">
        <v>970</v>
      </c>
      <c r="D50" s="629"/>
      <c r="E50" s="629"/>
      <c r="F50" s="629"/>
      <c r="G50" s="629"/>
      <c r="H50" s="629"/>
    </row>
    <row r="51" spans="1:9" outlineLevel="3" x14ac:dyDescent="0.25">
      <c r="A51" s="611" t="s">
        <v>602</v>
      </c>
      <c r="B51" s="607" t="s">
        <v>978</v>
      </c>
      <c r="C51" s="600" t="s">
        <v>970</v>
      </c>
      <c r="D51" s="629"/>
      <c r="E51" s="629"/>
      <c r="F51" s="629"/>
      <c r="G51" s="629"/>
      <c r="H51" s="629"/>
    </row>
    <row r="52" spans="1:9" outlineLevel="3" x14ac:dyDescent="0.25">
      <c r="A52" s="611" t="s">
        <v>718</v>
      </c>
      <c r="B52" s="607" t="s">
        <v>980</v>
      </c>
      <c r="C52" s="600" t="s">
        <v>970</v>
      </c>
      <c r="D52" s="629"/>
      <c r="E52" s="629"/>
      <c r="F52" s="629"/>
      <c r="G52" s="629"/>
      <c r="H52" s="629"/>
    </row>
    <row r="53" spans="1:9" outlineLevel="3" x14ac:dyDescent="0.25">
      <c r="A53" s="611" t="s">
        <v>719</v>
      </c>
      <c r="B53" s="607" t="s">
        <v>982</v>
      </c>
      <c r="C53" s="600" t="s">
        <v>970</v>
      </c>
      <c r="D53" s="629"/>
      <c r="E53" s="629"/>
      <c r="F53" s="629"/>
      <c r="G53" s="629"/>
      <c r="H53" s="629"/>
    </row>
    <row r="54" spans="1:9" ht="31.5" outlineLevel="3" x14ac:dyDescent="0.25">
      <c r="A54" s="611" t="s">
        <v>720</v>
      </c>
      <c r="B54" s="607" t="s">
        <v>984</v>
      </c>
      <c r="C54" s="600" t="s">
        <v>970</v>
      </c>
      <c r="D54" s="629">
        <f>D55+D56</f>
        <v>0</v>
      </c>
      <c r="E54" s="629">
        <f>E55+E56</f>
        <v>0</v>
      </c>
      <c r="F54" s="629">
        <f>F55+F56</f>
        <v>0</v>
      </c>
      <c r="G54" s="629">
        <f>G55+G56</f>
        <v>0</v>
      </c>
      <c r="H54" s="629">
        <f>H55+H56</f>
        <v>0</v>
      </c>
    </row>
    <row r="55" spans="1:9" outlineLevel="4" x14ac:dyDescent="0.25">
      <c r="A55" s="604" t="s">
        <v>1006</v>
      </c>
      <c r="B55" s="608" t="s">
        <v>986</v>
      </c>
      <c r="C55" s="600" t="s">
        <v>970</v>
      </c>
      <c r="D55" s="629"/>
      <c r="E55" s="629"/>
      <c r="F55" s="629"/>
      <c r="G55" s="629"/>
      <c r="H55" s="629"/>
    </row>
    <row r="56" spans="1:9" outlineLevel="4" x14ac:dyDescent="0.25">
      <c r="A56" s="604" t="s">
        <v>1007</v>
      </c>
      <c r="B56" s="608" t="s">
        <v>988</v>
      </c>
      <c r="C56" s="600" t="s">
        <v>970</v>
      </c>
      <c r="D56" s="629"/>
      <c r="E56" s="629"/>
      <c r="F56" s="629"/>
      <c r="G56" s="629"/>
      <c r="H56" s="629"/>
    </row>
    <row r="57" spans="1:9" outlineLevel="1" x14ac:dyDescent="0.25">
      <c r="A57" s="604" t="s">
        <v>722</v>
      </c>
      <c r="B57" s="612" t="s">
        <v>1008</v>
      </c>
      <c r="C57" s="600" t="s">
        <v>970</v>
      </c>
      <c r="D57" s="629"/>
      <c r="E57" s="629"/>
      <c r="F57" s="629"/>
      <c r="G57" s="629"/>
      <c r="H57" s="629"/>
    </row>
    <row r="58" spans="1:9" outlineLevel="1" x14ac:dyDescent="0.25">
      <c r="A58" s="604" t="s">
        <v>742</v>
      </c>
      <c r="B58" s="612" t="s">
        <v>1009</v>
      </c>
      <c r="C58" s="600" t="s">
        <v>970</v>
      </c>
      <c r="D58" s="629">
        <f>D59+D60</f>
        <v>0</v>
      </c>
      <c r="E58" s="629">
        <f>E59+E60</f>
        <v>0</v>
      </c>
      <c r="F58" s="629">
        <f>F59+F60</f>
        <v>0</v>
      </c>
      <c r="G58" s="629">
        <f>G59+G60</f>
        <v>0</v>
      </c>
      <c r="H58" s="629">
        <f>H59+H60</f>
        <v>0</v>
      </c>
    </row>
    <row r="59" spans="1:9" ht="18.75" outlineLevel="2" x14ac:dyDescent="0.3">
      <c r="A59" s="604" t="s">
        <v>1010</v>
      </c>
      <c r="B59" s="609" t="s">
        <v>1011</v>
      </c>
      <c r="C59" s="600" t="s">
        <v>970</v>
      </c>
      <c r="D59" s="629"/>
      <c r="E59" s="629"/>
      <c r="F59" s="629"/>
      <c r="G59" s="629"/>
      <c r="H59" s="629"/>
      <c r="I59" s="613"/>
    </row>
    <row r="60" spans="1:9" outlineLevel="2" x14ac:dyDescent="0.25">
      <c r="A60" s="604" t="s">
        <v>1012</v>
      </c>
      <c r="B60" s="609" t="s">
        <v>1013</v>
      </c>
      <c r="C60" s="600" t="s">
        <v>970</v>
      </c>
      <c r="D60" s="629"/>
      <c r="E60" s="629"/>
      <c r="F60" s="629"/>
      <c r="G60" s="629"/>
      <c r="H60" s="629"/>
    </row>
    <row r="61" spans="1:9" x14ac:dyDescent="0.25">
      <c r="A61" s="601" t="s">
        <v>1014</v>
      </c>
      <c r="B61" s="602" t="s">
        <v>1015</v>
      </c>
      <c r="C61" s="603" t="s">
        <v>970</v>
      </c>
      <c r="D61" s="623">
        <f>SUM(D62:D66)+D71+D72+D73</f>
        <v>0</v>
      </c>
      <c r="E61" s="623">
        <f>SUM(E62:E66)+E71+E72+E73</f>
        <v>0</v>
      </c>
      <c r="F61" s="623">
        <f>SUM(F62:F66)+F71+F72+F73</f>
        <v>0</v>
      </c>
      <c r="G61" s="623">
        <f>SUM(G62:G66)+G71+G72+G73</f>
        <v>0</v>
      </c>
      <c r="H61" s="623">
        <f>SUM(H62:H66)+H71+H72+H73</f>
        <v>0</v>
      </c>
    </row>
    <row r="62" spans="1:9" outlineLevel="1" x14ac:dyDescent="0.25">
      <c r="A62" s="604" t="s">
        <v>1016</v>
      </c>
      <c r="B62" s="612" t="s">
        <v>1017</v>
      </c>
      <c r="C62" s="600" t="s">
        <v>970</v>
      </c>
      <c r="D62" s="629"/>
      <c r="E62" s="629"/>
      <c r="F62" s="629"/>
      <c r="G62" s="629"/>
      <c r="H62" s="629"/>
    </row>
    <row r="63" spans="1:9" outlineLevel="1" x14ac:dyDescent="0.25">
      <c r="A63" s="604" t="s">
        <v>1018</v>
      </c>
      <c r="B63" s="612" t="s">
        <v>1019</v>
      </c>
      <c r="C63" s="600" t="s">
        <v>970</v>
      </c>
      <c r="D63" s="629"/>
      <c r="E63" s="629"/>
      <c r="F63" s="629"/>
      <c r="G63" s="629"/>
      <c r="H63" s="629"/>
    </row>
    <row r="64" spans="1:9" outlineLevel="1" x14ac:dyDescent="0.25">
      <c r="A64" s="604" t="s">
        <v>1020</v>
      </c>
      <c r="B64" s="612" t="s">
        <v>1021</v>
      </c>
      <c r="C64" s="600" t="s">
        <v>970</v>
      </c>
      <c r="D64" s="629"/>
      <c r="E64" s="629"/>
      <c r="F64" s="629"/>
      <c r="G64" s="629"/>
      <c r="H64" s="629"/>
    </row>
    <row r="65" spans="1:8" outlineLevel="1" x14ac:dyDescent="0.25">
      <c r="A65" s="604" t="s">
        <v>1022</v>
      </c>
      <c r="B65" s="612" t="s">
        <v>1023</v>
      </c>
      <c r="C65" s="600" t="s">
        <v>970</v>
      </c>
      <c r="D65" s="629"/>
      <c r="E65" s="629"/>
      <c r="F65" s="629"/>
      <c r="G65" s="629"/>
      <c r="H65" s="629"/>
    </row>
    <row r="66" spans="1:8" outlineLevel="1" x14ac:dyDescent="0.25">
      <c r="A66" s="604" t="s">
        <v>1024</v>
      </c>
      <c r="B66" s="612" t="s">
        <v>1025</v>
      </c>
      <c r="C66" s="600" t="s">
        <v>970</v>
      </c>
      <c r="D66" s="629">
        <f>SUM(D67:D70)</f>
        <v>0</v>
      </c>
      <c r="E66" s="629">
        <f>SUM(E67:E70)</f>
        <v>0</v>
      </c>
      <c r="F66" s="629">
        <f>SUM(F67:F70)</f>
        <v>0</v>
      </c>
      <c r="G66" s="629">
        <f>SUM(G67:G70)</f>
        <v>0</v>
      </c>
      <c r="H66" s="629">
        <f>SUM(H67:H70)</f>
        <v>0</v>
      </c>
    </row>
    <row r="67" spans="1:8" outlineLevel="2" x14ac:dyDescent="0.25">
      <c r="A67" s="604" t="s">
        <v>1026</v>
      </c>
      <c r="B67" s="609" t="s">
        <v>1027</v>
      </c>
      <c r="C67" s="600" t="s">
        <v>970</v>
      </c>
      <c r="D67" s="629"/>
      <c r="E67" s="629"/>
      <c r="F67" s="629"/>
      <c r="G67" s="629"/>
      <c r="H67" s="629"/>
    </row>
    <row r="68" spans="1:8" ht="31.5" outlineLevel="2" x14ac:dyDescent="0.25">
      <c r="A68" s="604" t="s">
        <v>1028</v>
      </c>
      <c r="B68" s="609" t="s">
        <v>1029</v>
      </c>
      <c r="C68" s="600" t="s">
        <v>970</v>
      </c>
      <c r="D68" s="629"/>
      <c r="E68" s="629"/>
      <c r="F68" s="629"/>
      <c r="G68" s="629"/>
      <c r="H68" s="629"/>
    </row>
    <row r="69" spans="1:8" outlineLevel="2" x14ac:dyDescent="0.25">
      <c r="A69" s="604" t="s">
        <v>1030</v>
      </c>
      <c r="B69" s="609" t="s">
        <v>1031</v>
      </c>
      <c r="C69" s="600" t="s">
        <v>970</v>
      </c>
      <c r="D69" s="629"/>
      <c r="E69" s="629"/>
      <c r="F69" s="629"/>
      <c r="G69" s="629"/>
      <c r="H69" s="629"/>
    </row>
    <row r="70" spans="1:8" ht="31.5" outlineLevel="2" x14ac:dyDescent="0.25">
      <c r="A70" s="604" t="s">
        <v>1032</v>
      </c>
      <c r="B70" s="609" t="s">
        <v>1033</v>
      </c>
      <c r="C70" s="600" t="s">
        <v>970</v>
      </c>
      <c r="D70" s="629"/>
      <c r="E70" s="629"/>
      <c r="F70" s="629"/>
      <c r="G70" s="629"/>
      <c r="H70" s="629"/>
    </row>
    <row r="71" spans="1:8" outlineLevel="1" collapsed="1" x14ac:dyDescent="0.25">
      <c r="A71" s="604" t="s">
        <v>1034</v>
      </c>
      <c r="B71" s="612" t="s">
        <v>1035</v>
      </c>
      <c r="C71" s="600" t="s">
        <v>970</v>
      </c>
      <c r="D71" s="629"/>
      <c r="E71" s="629"/>
      <c r="F71" s="629"/>
      <c r="G71" s="629"/>
      <c r="H71" s="629"/>
    </row>
    <row r="72" spans="1:8" outlineLevel="1" x14ac:dyDescent="0.25">
      <c r="A72" s="604" t="s">
        <v>1036</v>
      </c>
      <c r="B72" s="612" t="s">
        <v>1037</v>
      </c>
      <c r="C72" s="600" t="s">
        <v>970</v>
      </c>
      <c r="D72" s="629"/>
      <c r="E72" s="629"/>
      <c r="F72" s="629"/>
      <c r="G72" s="629"/>
      <c r="H72" s="629"/>
    </row>
    <row r="73" spans="1:8" ht="16.5" outlineLevel="1" thickBot="1" x14ac:dyDescent="0.3">
      <c r="A73" s="614" t="s">
        <v>1038</v>
      </c>
      <c r="B73" s="615" t="s">
        <v>1039</v>
      </c>
      <c r="C73" s="600" t="s">
        <v>970</v>
      </c>
      <c r="D73" s="616"/>
      <c r="E73" s="616"/>
      <c r="F73" s="616"/>
      <c r="G73" s="616"/>
      <c r="H73" s="616"/>
    </row>
    <row r="74" spans="1:8" collapsed="1" x14ac:dyDescent="0.25"/>
    <row r="76" spans="1:8" x14ac:dyDescent="0.25">
      <c r="A76" s="620" t="s">
        <v>1043</v>
      </c>
      <c r="H76" s="621" t="s">
        <v>1040</v>
      </c>
    </row>
  </sheetData>
  <mergeCells count="12">
    <mergeCell ref="A15:B15"/>
    <mergeCell ref="A3:H3"/>
    <mergeCell ref="A4:H4"/>
    <mergeCell ref="A5:H5"/>
    <mergeCell ref="A6:H6"/>
    <mergeCell ref="A7:H7"/>
    <mergeCell ref="A8:H8"/>
    <mergeCell ref="A9:H9"/>
    <mergeCell ref="A10:H10"/>
    <mergeCell ref="A12:A13"/>
    <mergeCell ref="B12:B13"/>
    <mergeCell ref="C12:C13"/>
  </mergeCells>
  <pageMargins left="0.31496062992125984" right="0.31496062992125984" top="0.35433070866141736" bottom="0.35433070866141736" header="0.31496062992125984" footer="0.31496062992125984"/>
  <pageSetup paperSize="9" scale="56"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57"/>
  <sheetViews>
    <sheetView topLeftCell="A16" zoomScale="160" zoomScaleNormal="160" zoomScaleSheetLayoutView="175" zoomScalePageLayoutView="115" workbookViewId="0">
      <pane xSplit="11" ySplit="4" topLeftCell="M47" activePane="bottomRight" state="frozen"/>
      <selection activeCell="A16" sqref="A16"/>
      <selection pane="topRight" activeCell="L16" sqref="L16"/>
      <selection pane="bottomLeft" activeCell="A20" sqref="A20"/>
      <selection pane="bottomRight" activeCell="S468" sqref="S468"/>
    </sheetView>
  </sheetViews>
  <sheetFormatPr defaultRowHeight="8.25" x14ac:dyDescent="0.15"/>
  <cols>
    <col min="1" max="1" width="1.25" style="638" customWidth="1"/>
    <col min="2" max="2" width="3" style="638" customWidth="1"/>
    <col min="3" max="3" width="10" style="638" customWidth="1"/>
    <col min="4" max="4" width="7.125" style="638" customWidth="1"/>
    <col min="5" max="5" width="12.25" style="638" customWidth="1"/>
    <col min="6" max="6" width="6.25" style="638" customWidth="1"/>
    <col min="7" max="7" width="4" style="638" customWidth="1"/>
    <col min="8" max="8" width="7" style="639" customWidth="1"/>
    <col min="9" max="10" width="6.875" style="639" hidden="1" customWidth="1"/>
    <col min="11" max="11" width="6.625" style="639" hidden="1" customWidth="1"/>
    <col min="12" max="12" width="7.5" style="639" customWidth="1"/>
    <col min="13" max="13" width="9" style="639" customWidth="1"/>
    <col min="14" max="14" width="7.625" style="639" customWidth="1"/>
    <col min="15" max="15" width="8.125" style="639" customWidth="1"/>
    <col min="16" max="16" width="7.625" style="639" customWidth="1"/>
    <col min="17" max="17" width="8.125" style="639" customWidth="1"/>
    <col min="18" max="18" width="7.625" style="639" customWidth="1"/>
    <col min="19" max="19" width="8.125" style="639" customWidth="1"/>
    <col min="20" max="20" width="7.625" style="639" customWidth="1"/>
    <col min="21" max="21" width="8.125" style="639" customWidth="1"/>
    <col min="22" max="22" width="7.625" style="639" customWidth="1"/>
    <col min="23" max="23" width="8.125" style="639" customWidth="1"/>
    <col min="24" max="16384" width="9" style="638"/>
  </cols>
  <sheetData>
    <row r="1" spans="1:23" s="748" customFormat="1" ht="10.5" x14ac:dyDescent="0.2">
      <c r="H1" s="749"/>
      <c r="I1" s="749"/>
      <c r="J1" s="749"/>
      <c r="K1" s="749"/>
      <c r="L1" s="749"/>
      <c r="M1" s="749"/>
      <c r="N1" s="749"/>
      <c r="O1" s="749"/>
      <c r="P1" s="749"/>
      <c r="Q1" s="749"/>
      <c r="R1" s="749"/>
      <c r="S1" s="749"/>
      <c r="T1" s="749"/>
      <c r="U1" s="749"/>
      <c r="V1" s="749"/>
      <c r="W1" s="750" t="s">
        <v>1074</v>
      </c>
    </row>
    <row r="2" spans="1:23" s="748" customFormat="1" ht="10.5" x14ac:dyDescent="0.2">
      <c r="H2" s="749"/>
      <c r="I2" s="749"/>
      <c r="J2" s="749"/>
      <c r="K2" s="749"/>
      <c r="L2" s="749"/>
      <c r="M2" s="749"/>
      <c r="N2" s="749"/>
      <c r="O2" s="749"/>
      <c r="P2" s="749"/>
      <c r="Q2" s="749"/>
      <c r="R2" s="749"/>
      <c r="S2" s="749"/>
      <c r="T2" s="749"/>
      <c r="U2" s="749"/>
      <c r="V2" s="750"/>
      <c r="W2" s="750" t="s">
        <v>1</v>
      </c>
    </row>
    <row r="3" spans="1:23" s="748" customFormat="1" ht="10.5" x14ac:dyDescent="0.2">
      <c r="H3" s="749"/>
      <c r="I3" s="749"/>
      <c r="J3" s="749"/>
      <c r="K3" s="749"/>
      <c r="L3" s="749"/>
      <c r="M3" s="749"/>
      <c r="N3" s="749"/>
      <c r="O3" s="749"/>
      <c r="P3" s="749"/>
      <c r="Q3" s="749"/>
      <c r="R3" s="749"/>
      <c r="S3" s="749"/>
      <c r="T3" s="749"/>
      <c r="U3" s="749"/>
      <c r="V3" s="750"/>
      <c r="W3" s="750" t="s">
        <v>1075</v>
      </c>
    </row>
    <row r="5" spans="1:23" s="751" customFormat="1" ht="12" x14ac:dyDescent="0.2">
      <c r="H5" s="752" t="s">
        <v>1076</v>
      </c>
      <c r="I5" s="753"/>
      <c r="J5" s="754" t="s">
        <v>1077</v>
      </c>
      <c r="K5" s="754"/>
      <c r="L5" s="754"/>
      <c r="M5" s="754"/>
      <c r="N5" s="754"/>
      <c r="O5" s="754"/>
      <c r="P5" s="754"/>
      <c r="Q5" s="754"/>
      <c r="R5" s="754"/>
      <c r="S5" s="754"/>
      <c r="T5" s="754"/>
      <c r="U5" s="754"/>
      <c r="V5" s="754"/>
      <c r="W5" s="755"/>
    </row>
    <row r="6" spans="1:23" s="748" customFormat="1" ht="10.5" x14ac:dyDescent="0.2">
      <c r="H6" s="749"/>
      <c r="I6" s="749"/>
      <c r="J6" s="749"/>
      <c r="K6" s="749"/>
      <c r="L6" s="749"/>
      <c r="M6" s="749"/>
      <c r="N6" s="749"/>
      <c r="O6" s="749"/>
      <c r="P6" s="749"/>
      <c r="Q6" s="749"/>
      <c r="R6" s="749"/>
      <c r="S6" s="749"/>
      <c r="T6" s="749"/>
      <c r="U6" s="749"/>
      <c r="V6" s="749"/>
      <c r="W6" s="749"/>
    </row>
    <row r="7" spans="1:23" s="748" customFormat="1" ht="10.5" x14ac:dyDescent="0.2">
      <c r="A7" s="756" t="s">
        <v>1078</v>
      </c>
      <c r="B7" s="756"/>
      <c r="C7" s="756"/>
      <c r="D7" s="757" t="s">
        <v>958</v>
      </c>
      <c r="E7" s="757"/>
      <c r="F7" s="757"/>
      <c r="G7" s="756"/>
      <c r="H7" s="756"/>
      <c r="I7" s="756"/>
      <c r="J7" s="756"/>
      <c r="K7" s="756"/>
      <c r="L7" s="756"/>
      <c r="M7" s="756"/>
      <c r="N7" s="756"/>
      <c r="O7" s="756"/>
      <c r="P7" s="756"/>
      <c r="Q7" s="756"/>
      <c r="R7" s="756"/>
      <c r="S7" s="756"/>
      <c r="T7" s="756"/>
      <c r="U7" s="756"/>
      <c r="V7" s="756"/>
      <c r="W7" s="756"/>
    </row>
    <row r="8" spans="1:23" s="748" customFormat="1" ht="10.5" x14ac:dyDescent="0.2">
      <c r="A8" s="756"/>
      <c r="B8" s="756"/>
      <c r="C8" s="756"/>
      <c r="D8" s="1394" t="s">
        <v>959</v>
      </c>
      <c r="E8" s="1394"/>
      <c r="F8" s="1394"/>
      <c r="G8" s="756"/>
      <c r="H8" s="756"/>
      <c r="I8" s="756"/>
      <c r="J8" s="756"/>
      <c r="K8" s="756"/>
      <c r="L8" s="756"/>
      <c r="M8" s="756"/>
      <c r="N8" s="756"/>
      <c r="O8" s="756"/>
      <c r="P8" s="756"/>
      <c r="Q8" s="756"/>
      <c r="R8" s="756"/>
      <c r="S8" s="756"/>
      <c r="T8" s="756"/>
      <c r="U8" s="756"/>
      <c r="V8" s="756"/>
      <c r="W8" s="756"/>
    </row>
    <row r="9" spans="1:23" s="748" customFormat="1" ht="10.5" x14ac:dyDescent="0.2">
      <c r="A9" s="756"/>
      <c r="B9" s="756"/>
      <c r="D9" s="750" t="s">
        <v>1079</v>
      </c>
      <c r="E9" s="1395" t="s">
        <v>691</v>
      </c>
      <c r="F9" s="1395"/>
      <c r="G9" s="756"/>
      <c r="H9" s="756"/>
      <c r="I9" s="756"/>
      <c r="J9" s="756"/>
      <c r="K9" s="756"/>
      <c r="L9" s="756"/>
      <c r="M9" s="756"/>
      <c r="N9" s="756"/>
      <c r="O9" s="756"/>
      <c r="P9" s="756"/>
      <c r="Q9" s="756"/>
      <c r="R9" s="756"/>
      <c r="S9" s="756"/>
      <c r="T9" s="756"/>
      <c r="U9" s="756"/>
      <c r="V9" s="756"/>
      <c r="W9" s="756"/>
    </row>
    <row r="10" spans="1:23" s="748" customFormat="1" ht="10.5" x14ac:dyDescent="0.2">
      <c r="A10" s="756"/>
      <c r="B10" s="756"/>
      <c r="D10" s="756"/>
      <c r="E10" s="750" t="s">
        <v>1080</v>
      </c>
      <c r="F10" s="1100" t="s">
        <v>1081</v>
      </c>
      <c r="G10" s="756" t="s">
        <v>1082</v>
      </c>
      <c r="H10" s="756"/>
      <c r="I10" s="756"/>
      <c r="J10" s="756"/>
      <c r="K10" s="756"/>
      <c r="L10" s="756"/>
      <c r="M10" s="756"/>
      <c r="N10" s="756"/>
      <c r="O10" s="756"/>
      <c r="P10" s="756"/>
      <c r="Q10" s="756"/>
      <c r="R10" s="756"/>
      <c r="S10" s="756"/>
      <c r="T10" s="756"/>
      <c r="U10" s="756"/>
      <c r="V10" s="756"/>
      <c r="W10" s="756"/>
    </row>
    <row r="11" spans="1:23" s="748" customFormat="1" ht="10.5" x14ac:dyDescent="0.2">
      <c r="A11" s="756"/>
      <c r="B11" s="756"/>
      <c r="C11" s="756"/>
      <c r="D11" s="756"/>
      <c r="E11" s="756"/>
      <c r="F11" s="756"/>
      <c r="G11" s="756"/>
      <c r="H11" s="756"/>
      <c r="I11" s="756"/>
      <c r="J11" s="756"/>
      <c r="K11" s="756"/>
      <c r="L11" s="756"/>
      <c r="M11" s="756"/>
      <c r="N11" s="756"/>
      <c r="O11" s="756"/>
      <c r="P11" s="756"/>
      <c r="Q11" s="756"/>
      <c r="R11" s="756"/>
      <c r="S11" s="756"/>
      <c r="T11" s="756"/>
      <c r="U11" s="756"/>
      <c r="V11" s="756"/>
      <c r="W11" s="756"/>
    </row>
    <row r="12" spans="1:23" s="748" customFormat="1" ht="10.5" x14ac:dyDescent="0.2">
      <c r="A12" s="756" t="s">
        <v>1083</v>
      </c>
      <c r="B12" s="756"/>
      <c r="C12" s="756"/>
      <c r="D12" s="756"/>
      <c r="E12" s="756"/>
      <c r="F12" s="756"/>
      <c r="G12" s="756"/>
      <c r="H12" s="756"/>
      <c r="I12" s="756"/>
      <c r="J12" s="756"/>
      <c r="K12" s="756"/>
      <c r="L12" s="756"/>
      <c r="M12" s="756"/>
      <c r="N12" s="756"/>
      <c r="O12" s="756"/>
      <c r="P12" s="756"/>
      <c r="Q12" s="756"/>
      <c r="R12" s="756"/>
      <c r="S12" s="756"/>
      <c r="T12" s="756"/>
      <c r="U12" s="756"/>
      <c r="V12" s="756"/>
      <c r="W12" s="756"/>
    </row>
    <row r="13" spans="1:23" s="748" customFormat="1" ht="10.5" x14ac:dyDescent="0.2">
      <c r="A13" s="756" t="s">
        <v>1084</v>
      </c>
      <c r="B13" s="758" t="s">
        <v>1085</v>
      </c>
      <c r="C13" s="758"/>
      <c r="D13" s="758"/>
      <c r="E13" s="758"/>
      <c r="F13" s="758"/>
      <c r="G13" s="759"/>
      <c r="H13" s="756"/>
      <c r="I13" s="756"/>
      <c r="J13" s="756"/>
      <c r="K13" s="756"/>
      <c r="L13" s="756"/>
      <c r="M13" s="756"/>
      <c r="N13" s="756"/>
      <c r="O13" s="756"/>
      <c r="P13" s="756"/>
      <c r="Q13" s="756"/>
      <c r="R13" s="756"/>
      <c r="S13" s="756"/>
      <c r="T13" s="756"/>
      <c r="U13" s="756"/>
      <c r="V13" s="756"/>
      <c r="W13" s="756"/>
    </row>
    <row r="14" spans="1:23" s="748" customFormat="1" ht="10.5" x14ac:dyDescent="0.2">
      <c r="B14" s="1396" t="s">
        <v>1086</v>
      </c>
      <c r="C14" s="1396"/>
      <c r="D14" s="1396"/>
      <c r="E14" s="1396"/>
      <c r="F14" s="1396"/>
      <c r="G14" s="760"/>
      <c r="H14" s="756"/>
      <c r="I14" s="756"/>
      <c r="J14" s="756"/>
      <c r="K14" s="756"/>
      <c r="L14" s="756"/>
      <c r="M14" s="756"/>
      <c r="N14" s="756"/>
      <c r="O14" s="756"/>
      <c r="P14" s="756"/>
      <c r="Q14" s="756"/>
      <c r="R14" s="756"/>
      <c r="S14" s="756"/>
      <c r="T14" s="756"/>
      <c r="U14" s="756"/>
      <c r="V14" s="756"/>
      <c r="W14" s="756"/>
    </row>
    <row r="15" spans="1:23" s="632" customFormat="1" ht="12" thickBot="1" x14ac:dyDescent="0.3">
      <c r="A15" s="1397" t="s">
        <v>1087</v>
      </c>
      <c r="B15" s="1397"/>
      <c r="C15" s="1397"/>
      <c r="D15" s="1397"/>
      <c r="E15" s="1397"/>
      <c r="F15" s="1397"/>
      <c r="G15" s="1397"/>
      <c r="H15" s="1397"/>
      <c r="I15" s="1397"/>
      <c r="J15" s="1397"/>
      <c r="K15" s="1397"/>
      <c r="L15" s="1397"/>
      <c r="M15" s="1397"/>
      <c r="N15" s="1397"/>
      <c r="O15" s="1397"/>
      <c r="P15" s="1397"/>
      <c r="Q15" s="1397"/>
      <c r="R15" s="1397"/>
      <c r="S15" s="1397"/>
      <c r="T15" s="1397"/>
      <c r="U15" s="1397"/>
      <c r="V15" s="1397"/>
      <c r="W15" s="1397"/>
    </row>
    <row r="16" spans="1:23" s="763" customFormat="1" ht="18" customHeight="1" x14ac:dyDescent="0.2">
      <c r="A16" s="1398" t="s">
        <v>510</v>
      </c>
      <c r="B16" s="1399"/>
      <c r="C16" s="1402" t="s">
        <v>961</v>
      </c>
      <c r="D16" s="1403"/>
      <c r="E16" s="1403"/>
      <c r="F16" s="1403"/>
      <c r="G16" s="1399"/>
      <c r="H16" s="1406" t="s">
        <v>962</v>
      </c>
      <c r="I16" s="761">
        <v>2017</v>
      </c>
      <c r="J16" s="762">
        <v>2018</v>
      </c>
      <c r="K16" s="762">
        <v>2019</v>
      </c>
      <c r="L16" s="1384" t="s">
        <v>1088</v>
      </c>
      <c r="M16" s="1385"/>
      <c r="N16" s="1384" t="s">
        <v>1089</v>
      </c>
      <c r="O16" s="1385"/>
      <c r="P16" s="1384" t="s">
        <v>1090</v>
      </c>
      <c r="Q16" s="1385"/>
      <c r="R16" s="1384" t="s">
        <v>1091</v>
      </c>
      <c r="S16" s="1385"/>
      <c r="T16" s="1384" t="s">
        <v>1092</v>
      </c>
      <c r="U16" s="1385"/>
      <c r="V16" s="1384" t="s">
        <v>3</v>
      </c>
      <c r="W16" s="1386"/>
    </row>
    <row r="17" spans="1:27" s="763" customFormat="1" ht="48" customHeight="1" x14ac:dyDescent="0.2">
      <c r="A17" s="1400"/>
      <c r="B17" s="1401"/>
      <c r="C17" s="1404"/>
      <c r="D17" s="1405"/>
      <c r="E17" s="1405"/>
      <c r="F17" s="1405"/>
      <c r="G17" s="1401"/>
      <c r="H17" s="1407"/>
      <c r="I17" s="764" t="s">
        <v>1093</v>
      </c>
      <c r="J17" s="765" t="s">
        <v>1093</v>
      </c>
      <c r="K17" s="765" t="s">
        <v>1094</v>
      </c>
      <c r="L17" s="765" t="s">
        <v>167</v>
      </c>
      <c r="M17" s="765" t="s">
        <v>415</v>
      </c>
      <c r="N17" s="765" t="s">
        <v>167</v>
      </c>
      <c r="O17" s="765" t="s">
        <v>168</v>
      </c>
      <c r="P17" s="765" t="s">
        <v>167</v>
      </c>
      <c r="Q17" s="765" t="s">
        <v>168</v>
      </c>
      <c r="R17" s="765" t="s">
        <v>167</v>
      </c>
      <c r="S17" s="765" t="s">
        <v>168</v>
      </c>
      <c r="T17" s="765" t="s">
        <v>167</v>
      </c>
      <c r="U17" s="765" t="s">
        <v>168</v>
      </c>
      <c r="V17" s="765" t="s">
        <v>167</v>
      </c>
      <c r="W17" s="766" t="s">
        <v>168</v>
      </c>
      <c r="Y17" s="896" t="s">
        <v>1095</v>
      </c>
      <c r="Z17" s="896"/>
      <c r="AA17" s="896"/>
    </row>
    <row r="18" spans="1:27" s="770" customFormat="1" ht="9" thickBot="1" x14ac:dyDescent="0.3">
      <c r="A18" s="1387">
        <v>1</v>
      </c>
      <c r="B18" s="1388"/>
      <c r="C18" s="1389">
        <v>2</v>
      </c>
      <c r="D18" s="1390"/>
      <c r="E18" s="1390"/>
      <c r="F18" s="1390"/>
      <c r="G18" s="1388"/>
      <c r="H18" s="767">
        <v>3</v>
      </c>
      <c r="I18" s="768">
        <v>4</v>
      </c>
      <c r="J18" s="769">
        <v>5</v>
      </c>
      <c r="K18" s="769">
        <v>6</v>
      </c>
      <c r="L18" s="769">
        <v>7</v>
      </c>
      <c r="M18" s="769">
        <v>8</v>
      </c>
      <c r="N18" s="769">
        <v>9</v>
      </c>
      <c r="O18" s="769">
        <v>10</v>
      </c>
      <c r="P18" s="769">
        <v>11</v>
      </c>
      <c r="Q18" s="769">
        <v>12</v>
      </c>
      <c r="R18" s="769">
        <v>11</v>
      </c>
      <c r="S18" s="769">
        <v>12</v>
      </c>
      <c r="T18" s="769">
        <v>11</v>
      </c>
      <c r="U18" s="769">
        <v>12</v>
      </c>
      <c r="V18" s="769">
        <v>13</v>
      </c>
      <c r="W18" s="767">
        <v>14</v>
      </c>
      <c r="Y18" s="897"/>
      <c r="Z18" s="897"/>
      <c r="AA18" s="897"/>
    </row>
    <row r="19" spans="1:27" s="771" customFormat="1" ht="10.5" customHeight="1" thickBot="1" x14ac:dyDescent="0.25">
      <c r="A19" s="1391" t="s">
        <v>1096</v>
      </c>
      <c r="B19" s="1392"/>
      <c r="C19" s="1392"/>
      <c r="D19" s="1392"/>
      <c r="E19" s="1392"/>
      <c r="F19" s="1392"/>
      <c r="G19" s="1392"/>
      <c r="H19" s="1392"/>
      <c r="I19" s="1392"/>
      <c r="J19" s="1392"/>
      <c r="K19" s="1392"/>
      <c r="L19" s="1392"/>
      <c r="M19" s="1392"/>
      <c r="N19" s="1392"/>
      <c r="O19" s="1392"/>
      <c r="P19" s="1392"/>
      <c r="Q19" s="1392"/>
      <c r="R19" s="1392"/>
      <c r="S19" s="1392"/>
      <c r="T19" s="1392"/>
      <c r="U19" s="1392"/>
      <c r="V19" s="1392"/>
      <c r="W19" s="1393"/>
      <c r="Y19" s="898">
        <v>2019</v>
      </c>
      <c r="Z19" s="898">
        <v>104.4</v>
      </c>
      <c r="AA19" s="899"/>
    </row>
    <row r="20" spans="1:27" s="775" customFormat="1" ht="9.75" customHeight="1" x14ac:dyDescent="0.25">
      <c r="A20" s="1412" t="s">
        <v>971</v>
      </c>
      <c r="B20" s="1413"/>
      <c r="C20" s="1414" t="s">
        <v>1097</v>
      </c>
      <c r="D20" s="1415"/>
      <c r="E20" s="1415"/>
      <c r="F20" s="1415"/>
      <c r="G20" s="1415"/>
      <c r="H20" s="772" t="s">
        <v>970</v>
      </c>
      <c r="I20" s="1099">
        <f>I26+I29+I34</f>
        <v>3310.8919999999998</v>
      </c>
      <c r="J20" s="773">
        <f t="shared" ref="J20:W20" si="0">J26+J29+J34</f>
        <v>3387.7350000000001</v>
      </c>
      <c r="K20" s="773">
        <f t="shared" si="0"/>
        <v>3378.4740000000002</v>
      </c>
      <c r="L20" s="773">
        <f t="shared" si="0"/>
        <v>796.01599999999996</v>
      </c>
      <c r="M20" s="773">
        <f t="shared" si="0"/>
        <v>796.01599999999996</v>
      </c>
      <c r="N20" s="773">
        <f t="shared" si="0"/>
        <v>758.55499999999995</v>
      </c>
      <c r="O20" s="773">
        <f t="shared" si="0"/>
        <v>848.71699999999998</v>
      </c>
      <c r="P20" s="773">
        <f t="shared" si="0"/>
        <v>796.97199999999998</v>
      </c>
      <c r="Q20" s="773">
        <f t="shared" si="0"/>
        <v>1074.76</v>
      </c>
      <c r="R20" s="773">
        <f>R26+R29+R34</f>
        <v>835.89599999999996</v>
      </c>
      <c r="S20" s="773">
        <f>S26+S29+S34</f>
        <v>850.89599999999996</v>
      </c>
      <c r="T20" s="773">
        <f>T26+T29+T34</f>
        <v>851.09500000000003</v>
      </c>
      <c r="U20" s="773">
        <f>U26+U29+U34</f>
        <v>874.38300000000004</v>
      </c>
      <c r="V20" s="773">
        <f t="shared" si="0"/>
        <v>4038.5340000000001</v>
      </c>
      <c r="W20" s="774">
        <f t="shared" si="0"/>
        <v>4390.741</v>
      </c>
      <c r="Y20" s="900">
        <v>2020</v>
      </c>
      <c r="Z20" s="900">
        <v>104.2</v>
      </c>
      <c r="AA20" s="901"/>
    </row>
    <row r="21" spans="1:27" s="775" customFormat="1" ht="8.25" customHeight="1" x14ac:dyDescent="0.25">
      <c r="A21" s="1408" t="s">
        <v>538</v>
      </c>
      <c r="B21" s="1409"/>
      <c r="C21" s="1410" t="s">
        <v>1098</v>
      </c>
      <c r="D21" s="1411"/>
      <c r="E21" s="1411"/>
      <c r="F21" s="1411"/>
      <c r="G21" s="1411"/>
      <c r="H21" s="776" t="s">
        <v>970</v>
      </c>
      <c r="I21" s="777"/>
      <c r="J21" s="778"/>
      <c r="K21" s="778"/>
      <c r="L21" s="778"/>
      <c r="M21" s="778"/>
      <c r="N21" s="778"/>
      <c r="O21" s="778"/>
      <c r="P21" s="778"/>
      <c r="Q21" s="778"/>
      <c r="R21" s="778"/>
      <c r="S21" s="778"/>
      <c r="T21" s="778"/>
      <c r="U21" s="778"/>
      <c r="V21" s="778">
        <f>L21+N21+P21</f>
        <v>0</v>
      </c>
      <c r="W21" s="779"/>
      <c r="Y21" s="900">
        <v>2021</v>
      </c>
      <c r="Z21" s="900">
        <v>104.1</v>
      </c>
      <c r="AA21" s="901"/>
    </row>
    <row r="22" spans="1:27" s="775" customFormat="1" ht="16.5" customHeight="1" x14ac:dyDescent="0.25">
      <c r="A22" s="1408" t="s">
        <v>540</v>
      </c>
      <c r="B22" s="1409"/>
      <c r="C22" s="1410" t="s">
        <v>1099</v>
      </c>
      <c r="D22" s="1411"/>
      <c r="E22" s="1411"/>
      <c r="F22" s="1411"/>
      <c r="G22" s="1411"/>
      <c r="H22" s="776" t="s">
        <v>970</v>
      </c>
      <c r="I22" s="777"/>
      <c r="J22" s="778"/>
      <c r="K22" s="778"/>
      <c r="L22" s="778"/>
      <c r="M22" s="778"/>
      <c r="N22" s="778"/>
      <c r="O22" s="778"/>
      <c r="P22" s="778"/>
      <c r="Q22" s="778"/>
      <c r="R22" s="778"/>
      <c r="S22" s="778"/>
      <c r="T22" s="778"/>
      <c r="U22" s="778"/>
      <c r="V22" s="778">
        <f>L22+N22+P22</f>
        <v>0</v>
      </c>
      <c r="W22" s="779"/>
      <c r="Y22" s="901"/>
      <c r="Z22" s="901"/>
      <c r="AA22" s="901"/>
    </row>
    <row r="23" spans="1:27" s="775" customFormat="1" ht="16.5" customHeight="1" x14ac:dyDescent="0.25">
      <c r="A23" s="1408" t="s">
        <v>541</v>
      </c>
      <c r="B23" s="1409"/>
      <c r="C23" s="1410" t="s">
        <v>1100</v>
      </c>
      <c r="D23" s="1411"/>
      <c r="E23" s="1411"/>
      <c r="F23" s="1411"/>
      <c r="G23" s="1411"/>
      <c r="H23" s="776" t="s">
        <v>970</v>
      </c>
      <c r="I23" s="777"/>
      <c r="J23" s="778"/>
      <c r="K23" s="778"/>
      <c r="L23" s="778"/>
      <c r="M23" s="778"/>
      <c r="N23" s="778"/>
      <c r="O23" s="778"/>
      <c r="P23" s="778"/>
      <c r="Q23" s="778"/>
      <c r="R23" s="778"/>
      <c r="S23" s="778"/>
      <c r="T23" s="778"/>
      <c r="U23" s="778"/>
      <c r="V23" s="778">
        <f>L23+N23+P23</f>
        <v>0</v>
      </c>
      <c r="W23" s="779"/>
      <c r="Y23" s="901"/>
      <c r="Z23" s="901"/>
      <c r="AA23" s="901"/>
    </row>
    <row r="24" spans="1:27" s="775" customFormat="1" ht="16.5" customHeight="1" x14ac:dyDescent="0.25">
      <c r="A24" s="1408" t="s">
        <v>542</v>
      </c>
      <c r="B24" s="1409"/>
      <c r="C24" s="1410" t="s">
        <v>1101</v>
      </c>
      <c r="D24" s="1411"/>
      <c r="E24" s="1411"/>
      <c r="F24" s="1411"/>
      <c r="G24" s="1411"/>
      <c r="H24" s="776" t="s">
        <v>970</v>
      </c>
      <c r="I24" s="777"/>
      <c r="J24" s="778"/>
      <c r="K24" s="778"/>
      <c r="L24" s="778"/>
      <c r="M24" s="778"/>
      <c r="N24" s="778"/>
      <c r="O24" s="778"/>
      <c r="P24" s="778"/>
      <c r="Q24" s="778"/>
      <c r="R24" s="778"/>
      <c r="S24" s="778"/>
      <c r="T24" s="778"/>
      <c r="U24" s="778"/>
      <c r="V24" s="778">
        <f>L24+N24+P24</f>
        <v>0</v>
      </c>
      <c r="W24" s="779"/>
    </row>
    <row r="25" spans="1:27" s="775" customFormat="1" ht="8.1" customHeight="1" x14ac:dyDescent="0.25">
      <c r="A25" s="1408" t="s">
        <v>539</v>
      </c>
      <c r="B25" s="1409"/>
      <c r="C25" s="1410" t="s">
        <v>1102</v>
      </c>
      <c r="D25" s="1411"/>
      <c r="E25" s="1411"/>
      <c r="F25" s="1411"/>
      <c r="G25" s="1411"/>
      <c r="H25" s="776" t="s">
        <v>970</v>
      </c>
      <c r="I25" s="777"/>
      <c r="J25" s="778"/>
      <c r="K25" s="778"/>
      <c r="L25" s="778"/>
      <c r="M25" s="778"/>
      <c r="N25" s="778"/>
      <c r="O25" s="778"/>
      <c r="P25" s="778"/>
      <c r="Q25" s="778"/>
      <c r="R25" s="778"/>
      <c r="S25" s="778"/>
      <c r="T25" s="778"/>
      <c r="U25" s="778"/>
      <c r="V25" s="778">
        <f>L25+N25+P25</f>
        <v>0</v>
      </c>
      <c r="W25" s="779"/>
    </row>
    <row r="26" spans="1:27" s="775" customFormat="1" ht="8.1" customHeight="1" x14ac:dyDescent="0.25">
      <c r="A26" s="1408" t="s">
        <v>722</v>
      </c>
      <c r="B26" s="1409"/>
      <c r="C26" s="1410" t="s">
        <v>1103</v>
      </c>
      <c r="D26" s="1411"/>
      <c r="E26" s="1411"/>
      <c r="F26" s="1411"/>
      <c r="G26" s="1411"/>
      <c r="H26" s="776" t="s">
        <v>970</v>
      </c>
      <c r="I26" s="777">
        <v>3234.1619999999998</v>
      </c>
      <c r="J26" s="778">
        <v>3322.7570000000001</v>
      </c>
      <c r="K26" s="778">
        <v>3307.81</v>
      </c>
      <c r="L26" s="778">
        <v>796.01599999999996</v>
      </c>
      <c r="M26" s="778">
        <v>796.01599999999996</v>
      </c>
      <c r="N26" s="778">
        <v>758.55499999999995</v>
      </c>
      <c r="O26" s="778">
        <v>794.68600000000004</v>
      </c>
      <c r="P26" s="778">
        <v>796.97199999999998</v>
      </c>
      <c r="Q26" s="778">
        <v>1074.76</v>
      </c>
      <c r="R26" s="778">
        <v>835.89599999999996</v>
      </c>
      <c r="S26" s="778">
        <f>R26+12+12/0.8*0.2</f>
        <v>850.89599999999996</v>
      </c>
      <c r="T26" s="778">
        <v>851.09500000000003</v>
      </c>
      <c r="U26" s="778">
        <f>T26+18.63+18.63/0.8*0.2</f>
        <v>874.38300000000004</v>
      </c>
      <c r="V26" s="778">
        <f>L26+N26+P26+R26+T26</f>
        <v>4038.5340000000001</v>
      </c>
      <c r="W26" s="778">
        <f>M26+O26+Q26+S26+U26</f>
        <v>4390.741</v>
      </c>
    </row>
    <row r="27" spans="1:27" s="775" customFormat="1" ht="8.1" customHeight="1" x14ac:dyDescent="0.25">
      <c r="A27" s="1408" t="s">
        <v>742</v>
      </c>
      <c r="B27" s="1409"/>
      <c r="C27" s="1410" t="s">
        <v>1104</v>
      </c>
      <c r="D27" s="1411"/>
      <c r="E27" s="1411"/>
      <c r="F27" s="1411"/>
      <c r="G27" s="1411"/>
      <c r="H27" s="776" t="s">
        <v>970</v>
      </c>
      <c r="I27" s="777"/>
      <c r="J27" s="778"/>
      <c r="K27" s="778"/>
      <c r="L27" s="778">
        <f t="shared" ref="L27:M90" si="1">K27*104.4/100</f>
        <v>0</v>
      </c>
      <c r="M27" s="778">
        <f t="shared" si="1"/>
        <v>0</v>
      </c>
      <c r="N27" s="778">
        <f t="shared" ref="N27:N33" si="2">L27*104.2/100</f>
        <v>0</v>
      </c>
      <c r="O27" s="778"/>
      <c r="P27" s="778">
        <f t="shared" ref="P27:P33" si="3">N27*104.1/100</f>
        <v>0</v>
      </c>
      <c r="Q27" s="778"/>
      <c r="R27" s="778">
        <f t="shared" ref="R27:R33" si="4">P27*104.1/100</f>
        <v>0</v>
      </c>
      <c r="S27" s="778"/>
      <c r="T27" s="778">
        <f t="shared" ref="T27:T33" si="5">R27*104.1/100</f>
        <v>0</v>
      </c>
      <c r="U27" s="778"/>
      <c r="V27" s="778">
        <f t="shared" ref="V27:W90" si="6">L27+N27+P27+R27+T27</f>
        <v>0</v>
      </c>
      <c r="W27" s="779"/>
    </row>
    <row r="28" spans="1:27" s="775" customFormat="1" ht="8.1" customHeight="1" x14ac:dyDescent="0.25">
      <c r="A28" s="1408" t="s">
        <v>743</v>
      </c>
      <c r="B28" s="1409"/>
      <c r="C28" s="1410" t="s">
        <v>1105</v>
      </c>
      <c r="D28" s="1411"/>
      <c r="E28" s="1411"/>
      <c r="F28" s="1411"/>
      <c r="G28" s="1411"/>
      <c r="H28" s="776" t="s">
        <v>970</v>
      </c>
      <c r="I28" s="777"/>
      <c r="J28" s="778"/>
      <c r="K28" s="778"/>
      <c r="L28" s="778">
        <f t="shared" si="1"/>
        <v>0</v>
      </c>
      <c r="M28" s="778">
        <f t="shared" si="1"/>
        <v>0</v>
      </c>
      <c r="N28" s="778">
        <f t="shared" si="2"/>
        <v>0</v>
      </c>
      <c r="O28" s="778"/>
      <c r="P28" s="778">
        <f t="shared" si="3"/>
        <v>0</v>
      </c>
      <c r="Q28" s="778"/>
      <c r="R28" s="778">
        <f t="shared" si="4"/>
        <v>0</v>
      </c>
      <c r="S28" s="778"/>
      <c r="T28" s="778">
        <f t="shared" si="5"/>
        <v>0</v>
      </c>
      <c r="U28" s="778"/>
      <c r="V28" s="778">
        <f t="shared" si="6"/>
        <v>0</v>
      </c>
      <c r="W28" s="779"/>
    </row>
    <row r="29" spans="1:27" s="775" customFormat="1" ht="8.1" customHeight="1" x14ac:dyDescent="0.25">
      <c r="A29" s="1408" t="s">
        <v>741</v>
      </c>
      <c r="B29" s="1409"/>
      <c r="C29" s="1410" t="s">
        <v>1106</v>
      </c>
      <c r="D29" s="1411"/>
      <c r="E29" s="1411"/>
      <c r="F29" s="1411"/>
      <c r="G29" s="1411"/>
      <c r="H29" s="776" t="s">
        <v>970</v>
      </c>
      <c r="I29" s="777"/>
      <c r="J29" s="778"/>
      <c r="K29" s="778"/>
      <c r="L29" s="778">
        <f t="shared" si="1"/>
        <v>0</v>
      </c>
      <c r="M29" s="778">
        <f t="shared" si="1"/>
        <v>0</v>
      </c>
      <c r="N29" s="778">
        <f t="shared" si="2"/>
        <v>0</v>
      </c>
      <c r="O29" s="778"/>
      <c r="P29" s="778">
        <f t="shared" si="3"/>
        <v>0</v>
      </c>
      <c r="Q29" s="778"/>
      <c r="R29" s="778">
        <f t="shared" si="4"/>
        <v>0</v>
      </c>
      <c r="S29" s="778"/>
      <c r="T29" s="778">
        <f t="shared" si="5"/>
        <v>0</v>
      </c>
      <c r="U29" s="778"/>
      <c r="V29" s="778">
        <f t="shared" si="6"/>
        <v>0</v>
      </c>
      <c r="W29" s="779"/>
    </row>
    <row r="30" spans="1:27" s="775" customFormat="1" ht="8.1" customHeight="1" x14ac:dyDescent="0.25">
      <c r="A30" s="1408" t="s">
        <v>1107</v>
      </c>
      <c r="B30" s="1409"/>
      <c r="C30" s="1410" t="s">
        <v>1108</v>
      </c>
      <c r="D30" s="1411"/>
      <c r="E30" s="1411"/>
      <c r="F30" s="1411"/>
      <c r="G30" s="1411"/>
      <c r="H30" s="776" t="s">
        <v>970</v>
      </c>
      <c r="I30" s="777"/>
      <c r="J30" s="778"/>
      <c r="K30" s="778"/>
      <c r="L30" s="778">
        <f t="shared" si="1"/>
        <v>0</v>
      </c>
      <c r="M30" s="778">
        <f t="shared" si="1"/>
        <v>0</v>
      </c>
      <c r="N30" s="778">
        <f t="shared" si="2"/>
        <v>0</v>
      </c>
      <c r="O30" s="778"/>
      <c r="P30" s="778">
        <f t="shared" si="3"/>
        <v>0</v>
      </c>
      <c r="Q30" s="778"/>
      <c r="R30" s="778">
        <f t="shared" si="4"/>
        <v>0</v>
      </c>
      <c r="S30" s="778"/>
      <c r="T30" s="778">
        <f t="shared" si="5"/>
        <v>0</v>
      </c>
      <c r="U30" s="778"/>
      <c r="V30" s="778">
        <f t="shared" si="6"/>
        <v>0</v>
      </c>
      <c r="W30" s="779"/>
    </row>
    <row r="31" spans="1:27" s="775" customFormat="1" ht="16.5" customHeight="1" x14ac:dyDescent="0.25">
      <c r="A31" s="1408" t="s">
        <v>1109</v>
      </c>
      <c r="B31" s="1409"/>
      <c r="C31" s="1410" t="s">
        <v>1110</v>
      </c>
      <c r="D31" s="1411"/>
      <c r="E31" s="1411"/>
      <c r="F31" s="1411"/>
      <c r="G31" s="1411"/>
      <c r="H31" s="776" t="s">
        <v>970</v>
      </c>
      <c r="I31" s="777"/>
      <c r="J31" s="778"/>
      <c r="K31" s="778"/>
      <c r="L31" s="778">
        <f t="shared" si="1"/>
        <v>0</v>
      </c>
      <c r="M31" s="778">
        <f t="shared" si="1"/>
        <v>0</v>
      </c>
      <c r="N31" s="778">
        <f t="shared" si="2"/>
        <v>0</v>
      </c>
      <c r="O31" s="778"/>
      <c r="P31" s="778">
        <f t="shared" si="3"/>
        <v>0</v>
      </c>
      <c r="Q31" s="778"/>
      <c r="R31" s="778">
        <f t="shared" si="4"/>
        <v>0</v>
      </c>
      <c r="S31" s="778"/>
      <c r="T31" s="778">
        <f t="shared" si="5"/>
        <v>0</v>
      </c>
      <c r="U31" s="778"/>
      <c r="V31" s="778">
        <f t="shared" si="6"/>
        <v>0</v>
      </c>
      <c r="W31" s="779"/>
    </row>
    <row r="32" spans="1:27" s="775" customFormat="1" ht="8.1" customHeight="1" x14ac:dyDescent="0.25">
      <c r="A32" s="1408" t="s">
        <v>1111</v>
      </c>
      <c r="B32" s="1409"/>
      <c r="C32" s="1420" t="s">
        <v>1112</v>
      </c>
      <c r="D32" s="1421"/>
      <c r="E32" s="1421"/>
      <c r="F32" s="1421"/>
      <c r="G32" s="1421"/>
      <c r="H32" s="776" t="s">
        <v>970</v>
      </c>
      <c r="I32" s="777"/>
      <c r="J32" s="778"/>
      <c r="K32" s="778"/>
      <c r="L32" s="778">
        <f t="shared" si="1"/>
        <v>0</v>
      </c>
      <c r="M32" s="778">
        <f t="shared" si="1"/>
        <v>0</v>
      </c>
      <c r="N32" s="778">
        <f t="shared" si="2"/>
        <v>0</v>
      </c>
      <c r="O32" s="778"/>
      <c r="P32" s="778">
        <f t="shared" si="3"/>
        <v>0</v>
      </c>
      <c r="Q32" s="778"/>
      <c r="R32" s="778">
        <f t="shared" si="4"/>
        <v>0</v>
      </c>
      <c r="S32" s="778"/>
      <c r="T32" s="778">
        <f t="shared" si="5"/>
        <v>0</v>
      </c>
      <c r="U32" s="778"/>
      <c r="V32" s="778">
        <f t="shared" si="6"/>
        <v>0</v>
      </c>
      <c r="W32" s="779"/>
    </row>
    <row r="33" spans="1:23" s="775" customFormat="1" ht="8.1" customHeight="1" x14ac:dyDescent="0.25">
      <c r="A33" s="1408" t="s">
        <v>1113</v>
      </c>
      <c r="B33" s="1409"/>
      <c r="C33" s="1420" t="s">
        <v>988</v>
      </c>
      <c r="D33" s="1421"/>
      <c r="E33" s="1421"/>
      <c r="F33" s="1421"/>
      <c r="G33" s="1421"/>
      <c r="H33" s="776" t="s">
        <v>970</v>
      </c>
      <c r="I33" s="777"/>
      <c r="J33" s="778"/>
      <c r="K33" s="778"/>
      <c r="L33" s="778">
        <f t="shared" si="1"/>
        <v>0</v>
      </c>
      <c r="M33" s="778">
        <f t="shared" si="1"/>
        <v>0</v>
      </c>
      <c r="N33" s="778">
        <f t="shared" si="2"/>
        <v>0</v>
      </c>
      <c r="O33" s="778"/>
      <c r="P33" s="778">
        <f t="shared" si="3"/>
        <v>0</v>
      </c>
      <c r="Q33" s="778"/>
      <c r="R33" s="778">
        <f t="shared" si="4"/>
        <v>0</v>
      </c>
      <c r="S33" s="778"/>
      <c r="T33" s="778">
        <f t="shared" si="5"/>
        <v>0</v>
      </c>
      <c r="U33" s="778"/>
      <c r="V33" s="778">
        <f t="shared" si="6"/>
        <v>0</v>
      </c>
      <c r="W33" s="779"/>
    </row>
    <row r="34" spans="1:23" s="775" customFormat="1" ht="8.1" customHeight="1" x14ac:dyDescent="0.25">
      <c r="A34" s="1408" t="s">
        <v>1114</v>
      </c>
      <c r="B34" s="1409"/>
      <c r="C34" s="1422" t="s">
        <v>1115</v>
      </c>
      <c r="D34" s="1423"/>
      <c r="E34" s="1423"/>
      <c r="F34" s="1423"/>
      <c r="G34" s="1423"/>
      <c r="H34" s="776" t="s">
        <v>970</v>
      </c>
      <c r="I34" s="777">
        <v>76.73</v>
      </c>
      <c r="J34" s="778">
        <v>64.977999999999994</v>
      </c>
      <c r="K34" s="778">
        <v>70.664000000000001</v>
      </c>
      <c r="L34" s="778"/>
      <c r="M34" s="778"/>
      <c r="N34" s="778"/>
      <c r="O34" s="778">
        <v>54.030999999999999</v>
      </c>
      <c r="P34" s="778"/>
      <c r="Q34" s="778"/>
      <c r="R34" s="778">
        <f>P34*104/100</f>
        <v>0</v>
      </c>
      <c r="S34" s="778">
        <f>R34</f>
        <v>0</v>
      </c>
      <c r="T34" s="778">
        <f>R34*104/100</f>
        <v>0</v>
      </c>
      <c r="U34" s="778">
        <f>S34*104/100</f>
        <v>0</v>
      </c>
      <c r="V34" s="778">
        <f>T34*104/100</f>
        <v>0</v>
      </c>
      <c r="W34" s="779"/>
    </row>
    <row r="35" spans="1:23" s="775" customFormat="1" ht="16.5" customHeight="1" x14ac:dyDescent="0.25">
      <c r="A35" s="1416" t="s">
        <v>1014</v>
      </c>
      <c r="B35" s="1417"/>
      <c r="C35" s="1418" t="s">
        <v>1116</v>
      </c>
      <c r="D35" s="1419"/>
      <c r="E35" s="1419"/>
      <c r="F35" s="1419"/>
      <c r="G35" s="1419"/>
      <c r="H35" s="780" t="s">
        <v>970</v>
      </c>
      <c r="I35" s="1098">
        <f>I41+I44+I49</f>
        <v>3216.9549999999999</v>
      </c>
      <c r="J35" s="781">
        <f t="shared" ref="J35:W35" si="7">J41+J44+J49</f>
        <v>3102.3809999999999</v>
      </c>
      <c r="K35" s="781">
        <f t="shared" si="7"/>
        <v>3111.1869999999999</v>
      </c>
      <c r="L35" s="781">
        <f t="shared" si="7"/>
        <v>817.69899999999996</v>
      </c>
      <c r="M35" s="781">
        <f t="shared" si="7"/>
        <v>817.69899999999996</v>
      </c>
      <c r="N35" s="781">
        <f t="shared" si="7"/>
        <v>804.87400000000002</v>
      </c>
      <c r="O35" s="781">
        <f t="shared" si="7"/>
        <v>813.44899999999996</v>
      </c>
      <c r="P35" s="781">
        <f t="shared" si="7"/>
        <v>819.31600000000003</v>
      </c>
      <c r="Q35" s="781">
        <f t="shared" si="7"/>
        <v>824.81399999999996</v>
      </c>
      <c r="R35" s="781">
        <f>R41+R44+R49</f>
        <v>834.15</v>
      </c>
      <c r="S35" s="781">
        <f>S41+S44+S49</f>
        <v>834.15</v>
      </c>
      <c r="T35" s="781">
        <f>T41+T44+T49</f>
        <v>849.31500000000005</v>
      </c>
      <c r="U35" s="781">
        <f>U41+U44+U49</f>
        <v>849.31500000000005</v>
      </c>
      <c r="V35" s="781">
        <f t="shared" si="6"/>
        <v>4125.3540000000003</v>
      </c>
      <c r="W35" s="782">
        <f t="shared" si="7"/>
        <v>4139.4269999999997</v>
      </c>
    </row>
    <row r="36" spans="1:23" s="775" customFormat="1" ht="8.1" customHeight="1" x14ac:dyDescent="0.25">
      <c r="A36" s="1408" t="s">
        <v>1016</v>
      </c>
      <c r="B36" s="1409"/>
      <c r="C36" s="1410" t="s">
        <v>1098</v>
      </c>
      <c r="D36" s="1411"/>
      <c r="E36" s="1411"/>
      <c r="F36" s="1411"/>
      <c r="G36" s="1411"/>
      <c r="H36" s="776" t="s">
        <v>970</v>
      </c>
      <c r="I36" s="777"/>
      <c r="J36" s="778"/>
      <c r="K36" s="778"/>
      <c r="L36" s="778">
        <f t="shared" si="1"/>
        <v>0</v>
      </c>
      <c r="M36" s="778">
        <f t="shared" si="1"/>
        <v>0</v>
      </c>
      <c r="N36" s="778">
        <f>L36*104.2/100</f>
        <v>0</v>
      </c>
      <c r="O36" s="778"/>
      <c r="P36" s="778">
        <f>N36*104.1/100</f>
        <v>0</v>
      </c>
      <c r="Q36" s="778"/>
      <c r="R36" s="778">
        <f>P36*104.1/100</f>
        <v>0</v>
      </c>
      <c r="S36" s="778"/>
      <c r="T36" s="778">
        <f>R36*104.1/100</f>
        <v>0</v>
      </c>
      <c r="U36" s="778"/>
      <c r="V36" s="778">
        <f t="shared" si="6"/>
        <v>0</v>
      </c>
      <c r="W36" s="779"/>
    </row>
    <row r="37" spans="1:23" s="775" customFormat="1" ht="16.5" customHeight="1" x14ac:dyDescent="0.25">
      <c r="A37" s="1408" t="s">
        <v>1117</v>
      </c>
      <c r="B37" s="1409"/>
      <c r="C37" s="1420" t="s">
        <v>1099</v>
      </c>
      <c r="D37" s="1421"/>
      <c r="E37" s="1421"/>
      <c r="F37" s="1421"/>
      <c r="G37" s="1421"/>
      <c r="H37" s="776" t="s">
        <v>970</v>
      </c>
      <c r="I37" s="777"/>
      <c r="J37" s="778"/>
      <c r="K37" s="778"/>
      <c r="L37" s="778">
        <f t="shared" si="1"/>
        <v>0</v>
      </c>
      <c r="M37" s="778">
        <f t="shared" si="1"/>
        <v>0</v>
      </c>
      <c r="N37" s="778">
        <f>L37*104.2/100</f>
        <v>0</v>
      </c>
      <c r="O37" s="778"/>
      <c r="P37" s="778">
        <f>N37*104.1/100</f>
        <v>0</v>
      </c>
      <c r="Q37" s="778"/>
      <c r="R37" s="778">
        <f>P37*104.1/100</f>
        <v>0</v>
      </c>
      <c r="S37" s="778"/>
      <c r="T37" s="778">
        <f>R37*104.1/100</f>
        <v>0</v>
      </c>
      <c r="U37" s="778"/>
      <c r="V37" s="778">
        <f t="shared" si="6"/>
        <v>0</v>
      </c>
      <c r="W37" s="779"/>
    </row>
    <row r="38" spans="1:23" s="775" customFormat="1" ht="16.5" customHeight="1" x14ac:dyDescent="0.25">
      <c r="A38" s="1408" t="s">
        <v>1118</v>
      </c>
      <c r="B38" s="1409"/>
      <c r="C38" s="1420" t="s">
        <v>1100</v>
      </c>
      <c r="D38" s="1421"/>
      <c r="E38" s="1421"/>
      <c r="F38" s="1421"/>
      <c r="G38" s="1421"/>
      <c r="H38" s="776" t="s">
        <v>970</v>
      </c>
      <c r="I38" s="777"/>
      <c r="J38" s="778"/>
      <c r="K38" s="778"/>
      <c r="L38" s="778">
        <f t="shared" si="1"/>
        <v>0</v>
      </c>
      <c r="M38" s="778">
        <f t="shared" si="1"/>
        <v>0</v>
      </c>
      <c r="N38" s="778">
        <f>L38*104.2/100</f>
        <v>0</v>
      </c>
      <c r="O38" s="778"/>
      <c r="P38" s="778">
        <f>N38*104.1/100</f>
        <v>0</v>
      </c>
      <c r="Q38" s="778"/>
      <c r="R38" s="778">
        <f>P38*104.1/100</f>
        <v>0</v>
      </c>
      <c r="S38" s="778"/>
      <c r="T38" s="778">
        <f>R38*104.1/100</f>
        <v>0</v>
      </c>
      <c r="U38" s="778"/>
      <c r="V38" s="778">
        <f t="shared" si="6"/>
        <v>0</v>
      </c>
      <c r="W38" s="779"/>
    </row>
    <row r="39" spans="1:23" s="775" customFormat="1" ht="16.5" customHeight="1" x14ac:dyDescent="0.25">
      <c r="A39" s="1408" t="s">
        <v>1119</v>
      </c>
      <c r="B39" s="1409"/>
      <c r="C39" s="1420" t="s">
        <v>1101</v>
      </c>
      <c r="D39" s="1421"/>
      <c r="E39" s="1421"/>
      <c r="F39" s="1421"/>
      <c r="G39" s="1421"/>
      <c r="H39" s="776" t="s">
        <v>970</v>
      </c>
      <c r="I39" s="777"/>
      <c r="J39" s="778"/>
      <c r="K39" s="778"/>
      <c r="L39" s="778">
        <f t="shared" si="1"/>
        <v>0</v>
      </c>
      <c r="M39" s="778">
        <f t="shared" si="1"/>
        <v>0</v>
      </c>
      <c r="N39" s="778">
        <f>L39*104.2/100</f>
        <v>0</v>
      </c>
      <c r="O39" s="778"/>
      <c r="P39" s="778">
        <f>N39*104.1/100</f>
        <v>0</v>
      </c>
      <c r="Q39" s="778"/>
      <c r="R39" s="778">
        <f>P39*104.1/100</f>
        <v>0</v>
      </c>
      <c r="S39" s="778"/>
      <c r="T39" s="778">
        <f>R39*104.1/100</f>
        <v>0</v>
      </c>
      <c r="U39" s="778"/>
      <c r="V39" s="778">
        <f t="shared" si="6"/>
        <v>0</v>
      </c>
      <c r="W39" s="779"/>
    </row>
    <row r="40" spans="1:23" s="775" customFormat="1" ht="8.1" customHeight="1" x14ac:dyDescent="0.25">
      <c r="A40" s="1408" t="s">
        <v>1018</v>
      </c>
      <c r="B40" s="1409"/>
      <c r="C40" s="1410" t="s">
        <v>1102</v>
      </c>
      <c r="D40" s="1411"/>
      <c r="E40" s="1411"/>
      <c r="F40" s="1411"/>
      <c r="G40" s="1411"/>
      <c r="H40" s="776" t="s">
        <v>970</v>
      </c>
      <c r="I40" s="777"/>
      <c r="J40" s="778"/>
      <c r="K40" s="778"/>
      <c r="L40" s="778">
        <f t="shared" si="1"/>
        <v>0</v>
      </c>
      <c r="M40" s="778">
        <f t="shared" si="1"/>
        <v>0</v>
      </c>
      <c r="N40" s="778">
        <f>L40*104.2/100</f>
        <v>0</v>
      </c>
      <c r="O40" s="778"/>
      <c r="P40" s="778">
        <f>N40*104.1/100</f>
        <v>0</v>
      </c>
      <c r="Q40" s="778"/>
      <c r="R40" s="778">
        <f>P40*104.1/100</f>
        <v>0</v>
      </c>
      <c r="S40" s="778"/>
      <c r="T40" s="778">
        <f>R40*104.1/100</f>
        <v>0</v>
      </c>
      <c r="U40" s="778"/>
      <c r="V40" s="778">
        <f t="shared" si="6"/>
        <v>0</v>
      </c>
      <c r="W40" s="779"/>
    </row>
    <row r="41" spans="1:23" s="775" customFormat="1" ht="8.1" customHeight="1" x14ac:dyDescent="0.25">
      <c r="A41" s="1408" t="s">
        <v>1020</v>
      </c>
      <c r="B41" s="1409"/>
      <c r="C41" s="1422" t="s">
        <v>1103</v>
      </c>
      <c r="D41" s="1423"/>
      <c r="E41" s="1423"/>
      <c r="F41" s="1423"/>
      <c r="G41" s="1423"/>
      <c r="H41" s="776" t="s">
        <v>970</v>
      </c>
      <c r="I41" s="777">
        <v>3213.2640000000001</v>
      </c>
      <c r="J41" s="778">
        <v>3097.288</v>
      </c>
      <c r="K41" s="778">
        <v>3100.9780000000001</v>
      </c>
      <c r="L41" s="778">
        <f>819.316-L101</f>
        <v>817.69899999999996</v>
      </c>
      <c r="M41" s="778">
        <f>819.316-M101</f>
        <v>817.69899999999996</v>
      </c>
      <c r="N41" s="778">
        <f>806.555-N101</f>
        <v>804.87400000000002</v>
      </c>
      <c r="O41" s="778">
        <f>866.217-O101-26.88-17.099-7.121</f>
        <v>813.44899999999996</v>
      </c>
      <c r="P41" s="778">
        <f>821.029-P101</f>
        <v>819.31600000000003</v>
      </c>
      <c r="Q41" s="778">
        <f>860.023-Q101-3.09-19.758-10.66</f>
        <v>824.81399999999996</v>
      </c>
      <c r="R41" s="778">
        <f>835.896-R101</f>
        <v>834.15</v>
      </c>
      <c r="S41" s="778">
        <f>R41</f>
        <v>834.15</v>
      </c>
      <c r="T41" s="778">
        <f>851.095-T101</f>
        <v>849.31500000000005</v>
      </c>
      <c r="U41" s="778">
        <f>T41</f>
        <v>849.31500000000005</v>
      </c>
      <c r="V41" s="778">
        <f t="shared" si="6"/>
        <v>4125.3540000000003</v>
      </c>
      <c r="W41" s="778">
        <f t="shared" si="6"/>
        <v>4139.4269999999997</v>
      </c>
    </row>
    <row r="42" spans="1:23" s="775" customFormat="1" ht="8.1" customHeight="1" x14ac:dyDescent="0.25">
      <c r="A42" s="1408" t="s">
        <v>1022</v>
      </c>
      <c r="B42" s="1409"/>
      <c r="C42" s="1410" t="s">
        <v>1104</v>
      </c>
      <c r="D42" s="1411"/>
      <c r="E42" s="1411"/>
      <c r="F42" s="1411"/>
      <c r="G42" s="1411"/>
      <c r="H42" s="776" t="s">
        <v>970</v>
      </c>
      <c r="I42" s="777"/>
      <c r="J42" s="778"/>
      <c r="K42" s="778"/>
      <c r="L42" s="778">
        <f t="shared" si="1"/>
        <v>0</v>
      </c>
      <c r="M42" s="778">
        <v>0</v>
      </c>
      <c r="N42" s="778">
        <f t="shared" ref="N42:O45" si="8">L42*104.2/100</f>
        <v>0</v>
      </c>
      <c r="O42" s="778">
        <f t="shared" si="8"/>
        <v>0</v>
      </c>
      <c r="P42" s="778">
        <f>N42*104.1/100</f>
        <v>0</v>
      </c>
      <c r="Q42" s="778"/>
      <c r="R42" s="778">
        <f>P42*104.1/100</f>
        <v>0</v>
      </c>
      <c r="S42" s="778"/>
      <c r="T42" s="778">
        <f>R42*104.1/100</f>
        <v>0</v>
      </c>
      <c r="U42" s="778"/>
      <c r="V42" s="778">
        <f t="shared" si="6"/>
        <v>0</v>
      </c>
      <c r="W42" s="779"/>
    </row>
    <row r="43" spans="1:23" s="775" customFormat="1" ht="8.1" customHeight="1" x14ac:dyDescent="0.25">
      <c r="A43" s="1408" t="s">
        <v>1024</v>
      </c>
      <c r="B43" s="1409"/>
      <c r="C43" s="1410" t="s">
        <v>1105</v>
      </c>
      <c r="D43" s="1411"/>
      <c r="E43" s="1411"/>
      <c r="F43" s="1411"/>
      <c r="G43" s="1411"/>
      <c r="H43" s="776" t="s">
        <v>970</v>
      </c>
      <c r="I43" s="777"/>
      <c r="J43" s="778"/>
      <c r="K43" s="778"/>
      <c r="L43" s="778">
        <f t="shared" si="1"/>
        <v>0</v>
      </c>
      <c r="M43" s="778">
        <v>0</v>
      </c>
      <c r="N43" s="778">
        <f t="shared" si="8"/>
        <v>0</v>
      </c>
      <c r="O43" s="778">
        <f t="shared" si="8"/>
        <v>0</v>
      </c>
      <c r="P43" s="778">
        <f>N43*104.1/100</f>
        <v>0</v>
      </c>
      <c r="Q43" s="778"/>
      <c r="R43" s="778">
        <f>P43*104.1/100</f>
        <v>0</v>
      </c>
      <c r="S43" s="778"/>
      <c r="T43" s="778">
        <f>R43*104.1/100</f>
        <v>0</v>
      </c>
      <c r="U43" s="778"/>
      <c r="V43" s="778">
        <f t="shared" si="6"/>
        <v>0</v>
      </c>
      <c r="W43" s="779"/>
    </row>
    <row r="44" spans="1:23" s="775" customFormat="1" ht="8.1" customHeight="1" x14ac:dyDescent="0.25">
      <c r="A44" s="1408" t="s">
        <v>1034</v>
      </c>
      <c r="B44" s="1409"/>
      <c r="C44" s="1410" t="s">
        <v>1106</v>
      </c>
      <c r="D44" s="1411"/>
      <c r="E44" s="1411"/>
      <c r="F44" s="1411"/>
      <c r="G44" s="1411"/>
      <c r="H44" s="776" t="s">
        <v>970</v>
      </c>
      <c r="I44" s="777"/>
      <c r="J44" s="778"/>
      <c r="K44" s="778"/>
      <c r="L44" s="778">
        <f t="shared" si="1"/>
        <v>0</v>
      </c>
      <c r="M44" s="778">
        <v>0</v>
      </c>
      <c r="N44" s="778">
        <f t="shared" si="8"/>
        <v>0</v>
      </c>
      <c r="O44" s="778">
        <f t="shared" si="8"/>
        <v>0</v>
      </c>
      <c r="P44" s="778">
        <f>N44*104.1/100</f>
        <v>0</v>
      </c>
      <c r="Q44" s="778"/>
      <c r="R44" s="778">
        <f>P44*104.1/100</f>
        <v>0</v>
      </c>
      <c r="S44" s="778"/>
      <c r="T44" s="778">
        <f>R44*104.1/100</f>
        <v>0</v>
      </c>
      <c r="U44" s="778"/>
      <c r="V44" s="778">
        <f t="shared" si="6"/>
        <v>0</v>
      </c>
      <c r="W44" s="779"/>
    </row>
    <row r="45" spans="1:23" s="775" customFormat="1" ht="8.1" customHeight="1" x14ac:dyDescent="0.25">
      <c r="A45" s="1408" t="s">
        <v>1036</v>
      </c>
      <c r="B45" s="1409"/>
      <c r="C45" s="1410" t="s">
        <v>1108</v>
      </c>
      <c r="D45" s="1411"/>
      <c r="E45" s="1411"/>
      <c r="F45" s="1411"/>
      <c r="G45" s="1411"/>
      <c r="H45" s="776" t="s">
        <v>970</v>
      </c>
      <c r="I45" s="777"/>
      <c r="J45" s="778"/>
      <c r="K45" s="778"/>
      <c r="L45" s="778">
        <f t="shared" si="1"/>
        <v>0</v>
      </c>
      <c r="M45" s="778">
        <v>0</v>
      </c>
      <c r="N45" s="778">
        <f t="shared" si="8"/>
        <v>0</v>
      </c>
      <c r="O45" s="778">
        <f t="shared" si="8"/>
        <v>0</v>
      </c>
      <c r="P45" s="778">
        <f>N45*104.1/100</f>
        <v>0</v>
      </c>
      <c r="Q45" s="778"/>
      <c r="R45" s="778">
        <f>P45*104.1/100</f>
        <v>0</v>
      </c>
      <c r="S45" s="778"/>
      <c r="T45" s="778">
        <f>R45*104.1/100</f>
        <v>0</v>
      </c>
      <c r="U45" s="778"/>
      <c r="V45" s="778">
        <f t="shared" si="6"/>
        <v>0</v>
      </c>
      <c r="W45" s="779"/>
    </row>
    <row r="46" spans="1:23" s="775" customFormat="1" ht="16.5" customHeight="1" x14ac:dyDescent="0.25">
      <c r="A46" s="1408" t="s">
        <v>1038</v>
      </c>
      <c r="B46" s="1409"/>
      <c r="C46" s="1410" t="s">
        <v>1110</v>
      </c>
      <c r="D46" s="1411"/>
      <c r="E46" s="1411"/>
      <c r="F46" s="1411"/>
      <c r="G46" s="1411"/>
      <c r="H46" s="776" t="s">
        <v>970</v>
      </c>
      <c r="I46" s="777"/>
      <c r="J46" s="778"/>
      <c r="K46" s="778"/>
      <c r="L46" s="778"/>
      <c r="M46" s="778"/>
      <c r="N46" s="778"/>
      <c r="O46" s="778"/>
      <c r="P46" s="778"/>
      <c r="Q46" s="778"/>
      <c r="R46" s="778"/>
      <c r="S46" s="778"/>
      <c r="T46" s="778"/>
      <c r="U46" s="778"/>
      <c r="V46" s="778"/>
      <c r="W46" s="779"/>
    </row>
    <row r="47" spans="1:23" s="775" customFormat="1" ht="8.1" customHeight="1" x14ac:dyDescent="0.25">
      <c r="A47" s="1408" t="s">
        <v>1120</v>
      </c>
      <c r="B47" s="1409"/>
      <c r="C47" s="1420" t="s">
        <v>1112</v>
      </c>
      <c r="D47" s="1421"/>
      <c r="E47" s="1421"/>
      <c r="F47" s="1421"/>
      <c r="G47" s="1421"/>
      <c r="H47" s="776" t="s">
        <v>970</v>
      </c>
      <c r="I47" s="777"/>
      <c r="J47" s="778"/>
      <c r="K47" s="778"/>
      <c r="L47" s="778">
        <f t="shared" si="1"/>
        <v>0</v>
      </c>
      <c r="M47" s="778">
        <v>0</v>
      </c>
      <c r="N47" s="778">
        <f>L47*104.2/100</f>
        <v>0</v>
      </c>
      <c r="O47" s="778">
        <f>M47*104.2/100</f>
        <v>0</v>
      </c>
      <c r="P47" s="778">
        <f>N47*104.1/100</f>
        <v>0</v>
      </c>
      <c r="Q47" s="778"/>
      <c r="R47" s="778">
        <f>P47*104.1/100</f>
        <v>0</v>
      </c>
      <c r="S47" s="778"/>
      <c r="T47" s="778">
        <f>R47*104.1/100</f>
        <v>0</v>
      </c>
      <c r="U47" s="778"/>
      <c r="V47" s="778">
        <f t="shared" si="6"/>
        <v>0</v>
      </c>
      <c r="W47" s="779"/>
    </row>
    <row r="48" spans="1:23" s="775" customFormat="1" ht="8.1" customHeight="1" x14ac:dyDescent="0.25">
      <c r="A48" s="1408" t="s">
        <v>1121</v>
      </c>
      <c r="B48" s="1409"/>
      <c r="C48" s="1420" t="s">
        <v>988</v>
      </c>
      <c r="D48" s="1421"/>
      <c r="E48" s="1421"/>
      <c r="F48" s="1421"/>
      <c r="G48" s="1421"/>
      <c r="H48" s="776" t="s">
        <v>970</v>
      </c>
      <c r="I48" s="777"/>
      <c r="J48" s="778"/>
      <c r="K48" s="778"/>
      <c r="L48" s="778">
        <f t="shared" si="1"/>
        <v>0</v>
      </c>
      <c r="M48" s="778">
        <v>0</v>
      </c>
      <c r="N48" s="778">
        <f>L48*104.2/100</f>
        <v>0</v>
      </c>
      <c r="O48" s="778">
        <f>M48*104.2/100</f>
        <v>0</v>
      </c>
      <c r="P48" s="778">
        <f>N48*104.1/100</f>
        <v>0</v>
      </c>
      <c r="Q48" s="778"/>
      <c r="R48" s="778">
        <f>P48*104.1/100</f>
        <v>0</v>
      </c>
      <c r="S48" s="778"/>
      <c r="T48" s="778">
        <f>R48*104.1/100</f>
        <v>0</v>
      </c>
      <c r="U48" s="778"/>
      <c r="V48" s="778">
        <f t="shared" si="6"/>
        <v>0</v>
      </c>
      <c r="W48" s="779"/>
    </row>
    <row r="49" spans="1:23" s="775" customFormat="1" ht="8.1" customHeight="1" x14ac:dyDescent="0.25">
      <c r="A49" s="1408" t="s">
        <v>1122</v>
      </c>
      <c r="B49" s="1409"/>
      <c r="C49" s="1422" t="s">
        <v>1115</v>
      </c>
      <c r="D49" s="1423"/>
      <c r="E49" s="1423"/>
      <c r="F49" s="1423"/>
      <c r="G49" s="1423"/>
      <c r="H49" s="776" t="s">
        <v>970</v>
      </c>
      <c r="I49" s="777">
        <v>3.6909999999999998</v>
      </c>
      <c r="J49" s="778">
        <v>5.093</v>
      </c>
      <c r="K49" s="778">
        <v>10.209</v>
      </c>
      <c r="L49" s="778"/>
      <c r="M49" s="778"/>
      <c r="N49" s="778"/>
      <c r="O49" s="778"/>
      <c r="P49" s="778">
        <f>N49*104/100</f>
        <v>0</v>
      </c>
      <c r="Q49" s="778">
        <f>P49</f>
        <v>0</v>
      </c>
      <c r="R49" s="778">
        <f>P49*104/100</f>
        <v>0</v>
      </c>
      <c r="S49" s="778">
        <f>R49</f>
        <v>0</v>
      </c>
      <c r="T49" s="778">
        <f>R49*104/100</f>
        <v>0</v>
      </c>
      <c r="U49" s="778">
        <f>T49</f>
        <v>0</v>
      </c>
      <c r="V49" s="778"/>
      <c r="W49" s="779"/>
    </row>
    <row r="50" spans="1:23" s="775" customFormat="1" ht="8.1" customHeight="1" x14ac:dyDescent="0.25">
      <c r="A50" s="1408" t="s">
        <v>1123</v>
      </c>
      <c r="B50" s="1409"/>
      <c r="C50" s="1428" t="s">
        <v>1124</v>
      </c>
      <c r="D50" s="1429"/>
      <c r="E50" s="1429"/>
      <c r="F50" s="1429"/>
      <c r="G50" s="1429"/>
      <c r="H50" s="776" t="s">
        <v>970</v>
      </c>
      <c r="I50" s="777">
        <f>SUM(I51:I58)-I52-I53</f>
        <v>628.09299999999996</v>
      </c>
      <c r="J50" s="778">
        <f t="shared" ref="J50:P50" si="9">SUM(J51:J58)-J52-J53</f>
        <v>604.82000000000005</v>
      </c>
      <c r="K50" s="778">
        <f t="shared" si="9"/>
        <v>699.39099999999996</v>
      </c>
      <c r="L50" s="778">
        <f t="shared" si="9"/>
        <v>61.012</v>
      </c>
      <c r="M50" s="778">
        <f t="shared" si="9"/>
        <v>61.012</v>
      </c>
      <c r="N50" s="778">
        <f t="shared" si="9"/>
        <v>63.451000000000001</v>
      </c>
      <c r="O50" s="778">
        <f t="shared" si="9"/>
        <v>62.881</v>
      </c>
      <c r="P50" s="778">
        <f t="shared" si="9"/>
        <v>64.67</v>
      </c>
      <c r="Q50" s="778">
        <v>64.206999999999994</v>
      </c>
      <c r="R50" s="778">
        <f>SUM(R51:R58)-R52-R53</f>
        <v>65.911000000000001</v>
      </c>
      <c r="S50" s="778">
        <f>SUM(S51:S58)-S52-S53</f>
        <v>65.911000000000001</v>
      </c>
      <c r="T50" s="778">
        <f>SUM(T51:T58)-T52-T53</f>
        <v>67.174000000000007</v>
      </c>
      <c r="U50" s="778">
        <f>SUM(U51:U58)-U52-U53</f>
        <v>67.174000000000007</v>
      </c>
      <c r="V50" s="778">
        <f t="shared" si="6"/>
        <v>322.21800000000002</v>
      </c>
      <c r="W50" s="778">
        <f t="shared" si="6"/>
        <v>321.185</v>
      </c>
    </row>
    <row r="51" spans="1:23" s="775" customFormat="1" ht="8.1" customHeight="1" x14ac:dyDescent="0.25">
      <c r="A51" s="1408" t="s">
        <v>1117</v>
      </c>
      <c r="B51" s="1409"/>
      <c r="C51" s="1420" t="s">
        <v>1125</v>
      </c>
      <c r="D51" s="1421"/>
      <c r="E51" s="1421"/>
      <c r="F51" s="1421"/>
      <c r="G51" s="1421"/>
      <c r="H51" s="776" t="s">
        <v>970</v>
      </c>
      <c r="I51" s="777"/>
      <c r="J51" s="778"/>
      <c r="K51" s="778"/>
      <c r="L51" s="778">
        <f t="shared" si="1"/>
        <v>0</v>
      </c>
      <c r="M51" s="778">
        <v>0</v>
      </c>
      <c r="N51" s="778">
        <f t="shared" ref="N51:O53" si="10">L51*104.2/100</f>
        <v>0</v>
      </c>
      <c r="O51" s="778">
        <f t="shared" si="10"/>
        <v>0</v>
      </c>
      <c r="P51" s="778">
        <f>N51*104.1/100</f>
        <v>0</v>
      </c>
      <c r="Q51" s="778"/>
      <c r="R51" s="778">
        <f>P51*104.1/100</f>
        <v>0</v>
      </c>
      <c r="S51" s="778"/>
      <c r="T51" s="778">
        <f>R51*104.1/100</f>
        <v>0</v>
      </c>
      <c r="U51" s="778"/>
      <c r="V51" s="778">
        <f t="shared" si="6"/>
        <v>0</v>
      </c>
      <c r="W51" s="779"/>
    </row>
    <row r="52" spans="1:23" s="775" customFormat="1" ht="8.1" customHeight="1" x14ac:dyDescent="0.25">
      <c r="A52" s="1408" t="s">
        <v>1118</v>
      </c>
      <c r="B52" s="1409"/>
      <c r="C52" s="1420" t="s">
        <v>1126</v>
      </c>
      <c r="D52" s="1421"/>
      <c r="E52" s="1421"/>
      <c r="F52" s="1421"/>
      <c r="G52" s="1421"/>
      <c r="H52" s="776" t="s">
        <v>970</v>
      </c>
      <c r="I52" s="777">
        <f>I53</f>
        <v>0</v>
      </c>
      <c r="J52" s="778">
        <f>J53</f>
        <v>0</v>
      </c>
      <c r="K52" s="778">
        <f>K53</f>
        <v>0</v>
      </c>
      <c r="L52" s="778">
        <f t="shared" si="1"/>
        <v>0</v>
      </c>
      <c r="M52" s="778">
        <v>0</v>
      </c>
      <c r="N52" s="778">
        <f t="shared" si="10"/>
        <v>0</v>
      </c>
      <c r="O52" s="778">
        <f t="shared" si="10"/>
        <v>0</v>
      </c>
      <c r="P52" s="778">
        <f>N52*104.1/100</f>
        <v>0</v>
      </c>
      <c r="Q52" s="778">
        <f>Q53</f>
        <v>0</v>
      </c>
      <c r="R52" s="778">
        <f>P52*104.1/100</f>
        <v>0</v>
      </c>
      <c r="S52" s="778">
        <f>S53</f>
        <v>0</v>
      </c>
      <c r="T52" s="778">
        <f>R52*104.1/100</f>
        <v>0</v>
      </c>
      <c r="U52" s="778">
        <f>U53</f>
        <v>0</v>
      </c>
      <c r="V52" s="778">
        <f t="shared" si="6"/>
        <v>0</v>
      </c>
      <c r="W52" s="1094">
        <f>W53</f>
        <v>0</v>
      </c>
    </row>
    <row r="53" spans="1:23" s="775" customFormat="1" ht="8.1" customHeight="1" x14ac:dyDescent="0.25">
      <c r="A53" s="1408" t="s">
        <v>1127</v>
      </c>
      <c r="B53" s="1409"/>
      <c r="C53" s="1424" t="s">
        <v>1128</v>
      </c>
      <c r="D53" s="1425"/>
      <c r="E53" s="1425"/>
      <c r="F53" s="1425"/>
      <c r="G53" s="1425"/>
      <c r="H53" s="776" t="s">
        <v>970</v>
      </c>
      <c r="I53" s="777">
        <f>I55</f>
        <v>0</v>
      </c>
      <c r="J53" s="778">
        <f>J55</f>
        <v>0</v>
      </c>
      <c r="K53" s="778">
        <f>K55</f>
        <v>0</v>
      </c>
      <c r="L53" s="778">
        <f t="shared" si="1"/>
        <v>0</v>
      </c>
      <c r="M53" s="778">
        <v>0</v>
      </c>
      <c r="N53" s="778">
        <f t="shared" si="10"/>
        <v>0</v>
      </c>
      <c r="O53" s="778">
        <f t="shared" si="10"/>
        <v>0</v>
      </c>
      <c r="P53" s="778">
        <f>N53*104.1/100</f>
        <v>0</v>
      </c>
      <c r="Q53" s="778">
        <f>Q55</f>
        <v>0</v>
      </c>
      <c r="R53" s="778">
        <f>P53*104.1/100</f>
        <v>0</v>
      </c>
      <c r="S53" s="778">
        <f>S55</f>
        <v>0</v>
      </c>
      <c r="T53" s="778">
        <f>R53*104.1/100</f>
        <v>0</v>
      </c>
      <c r="U53" s="778">
        <f>U55</f>
        <v>0</v>
      </c>
      <c r="V53" s="778">
        <f t="shared" si="6"/>
        <v>0</v>
      </c>
      <c r="W53" s="1094">
        <f>W55</f>
        <v>0</v>
      </c>
    </row>
    <row r="54" spans="1:23" s="775" customFormat="1" ht="16.5" customHeight="1" x14ac:dyDescent="0.25">
      <c r="A54" s="1408" t="s">
        <v>1129</v>
      </c>
      <c r="B54" s="1409"/>
      <c r="C54" s="1426" t="s">
        <v>1130</v>
      </c>
      <c r="D54" s="1427"/>
      <c r="E54" s="1427"/>
      <c r="F54" s="1427"/>
      <c r="G54" s="1427"/>
      <c r="H54" s="776" t="s">
        <v>970</v>
      </c>
      <c r="I54" s="777">
        <v>578.57299999999998</v>
      </c>
      <c r="J54" s="778">
        <v>579.66099999999994</v>
      </c>
      <c r="K54" s="778">
        <v>638.36300000000006</v>
      </c>
      <c r="L54" s="778"/>
      <c r="M54" s="778"/>
      <c r="N54" s="778"/>
      <c r="O54" s="778"/>
      <c r="P54" s="778"/>
      <c r="Q54" s="778"/>
      <c r="R54" s="778"/>
      <c r="S54" s="778"/>
      <c r="T54" s="778"/>
      <c r="U54" s="778"/>
      <c r="V54" s="778">
        <f t="shared" si="6"/>
        <v>0</v>
      </c>
      <c r="W54" s="779"/>
    </row>
    <row r="55" spans="1:23" s="775" customFormat="1" ht="8.1" customHeight="1" x14ac:dyDescent="0.25">
      <c r="A55" s="1408" t="s">
        <v>1131</v>
      </c>
      <c r="B55" s="1409"/>
      <c r="C55" s="1426" t="s">
        <v>1132</v>
      </c>
      <c r="D55" s="1427"/>
      <c r="E55" s="1427"/>
      <c r="F55" s="1427"/>
      <c r="G55" s="1427"/>
      <c r="H55" s="776" t="s">
        <v>970</v>
      </c>
      <c r="I55" s="777"/>
      <c r="J55" s="778"/>
      <c r="K55" s="778"/>
      <c r="L55" s="778">
        <f t="shared" si="1"/>
        <v>0</v>
      </c>
      <c r="M55" s="778">
        <v>0</v>
      </c>
      <c r="N55" s="778">
        <f>L55*104.2/100</f>
        <v>0</v>
      </c>
      <c r="O55" s="778">
        <f>M55*104.2/100</f>
        <v>0</v>
      </c>
      <c r="P55" s="778">
        <f>N55*104.1/100</f>
        <v>0</v>
      </c>
      <c r="Q55" s="778"/>
      <c r="R55" s="778">
        <f>P55*104.1/100</f>
        <v>0</v>
      </c>
      <c r="S55" s="778"/>
      <c r="T55" s="778">
        <f>R55*104.1/100</f>
        <v>0</v>
      </c>
      <c r="U55" s="778"/>
      <c r="V55" s="778">
        <f t="shared" si="6"/>
        <v>0</v>
      </c>
      <c r="W55" s="779"/>
    </row>
    <row r="56" spans="1:23" s="775" customFormat="1" ht="8.1" customHeight="1" x14ac:dyDescent="0.25">
      <c r="A56" s="1408" t="s">
        <v>1133</v>
      </c>
      <c r="B56" s="1409"/>
      <c r="C56" s="1424" t="s">
        <v>1134</v>
      </c>
      <c r="D56" s="1425"/>
      <c r="E56" s="1425"/>
      <c r="F56" s="1425"/>
      <c r="G56" s="1425"/>
      <c r="H56" s="776" t="s">
        <v>970</v>
      </c>
      <c r="I56" s="777"/>
      <c r="J56" s="778"/>
      <c r="K56" s="778"/>
      <c r="L56" s="778">
        <f t="shared" si="1"/>
        <v>0</v>
      </c>
      <c r="M56" s="778">
        <v>0</v>
      </c>
      <c r="N56" s="778">
        <f>L56*104.2/100</f>
        <v>0</v>
      </c>
      <c r="O56" s="778">
        <f>M56*104.2/100</f>
        <v>0</v>
      </c>
      <c r="P56" s="778">
        <f>N56*104.1/100</f>
        <v>0</v>
      </c>
      <c r="Q56" s="778"/>
      <c r="R56" s="778">
        <f>P56*104.1/100</f>
        <v>0</v>
      </c>
      <c r="S56" s="778"/>
      <c r="T56" s="778">
        <f>R56*104.1/100</f>
        <v>0</v>
      </c>
      <c r="U56" s="778"/>
      <c r="V56" s="778">
        <f t="shared" si="6"/>
        <v>0</v>
      </c>
      <c r="W56" s="779"/>
    </row>
    <row r="57" spans="1:23" s="775" customFormat="1" ht="8.1" customHeight="1" x14ac:dyDescent="0.25">
      <c r="A57" s="1408" t="s">
        <v>1119</v>
      </c>
      <c r="B57" s="1409"/>
      <c r="C57" s="1420" t="s">
        <v>1135</v>
      </c>
      <c r="D57" s="1421"/>
      <c r="E57" s="1421"/>
      <c r="F57" s="1421"/>
      <c r="G57" s="1421"/>
      <c r="H57" s="776" t="s">
        <v>970</v>
      </c>
      <c r="I57" s="777">
        <v>49.52</v>
      </c>
      <c r="J57" s="778">
        <v>25.158999999999999</v>
      </c>
      <c r="K57" s="778">
        <v>61.027999999999999</v>
      </c>
      <c r="L57" s="778">
        <v>61.012</v>
      </c>
      <c r="M57" s="778">
        <v>61.012</v>
      </c>
      <c r="N57" s="778">
        <v>63.451000000000001</v>
      </c>
      <c r="O57" s="778">
        <v>62.881</v>
      </c>
      <c r="P57" s="778">
        <v>64.67</v>
      </c>
      <c r="Q57" s="778">
        <f>Q50</f>
        <v>64.206999999999994</v>
      </c>
      <c r="R57" s="778">
        <v>65.911000000000001</v>
      </c>
      <c r="S57" s="778">
        <f>R57</f>
        <v>65.911000000000001</v>
      </c>
      <c r="T57" s="778">
        <v>67.174000000000007</v>
      </c>
      <c r="U57" s="778">
        <f>T57</f>
        <v>67.174000000000007</v>
      </c>
      <c r="V57" s="778">
        <f t="shared" si="6"/>
        <v>322.21800000000002</v>
      </c>
      <c r="W57" s="778">
        <f t="shared" si="6"/>
        <v>321.185</v>
      </c>
    </row>
    <row r="58" spans="1:23" s="775" customFormat="1" ht="8.1" customHeight="1" x14ac:dyDescent="0.25">
      <c r="A58" s="1408" t="s">
        <v>1136</v>
      </c>
      <c r="B58" s="1409"/>
      <c r="C58" s="1420" t="s">
        <v>1137</v>
      </c>
      <c r="D58" s="1421"/>
      <c r="E58" s="1421"/>
      <c r="F58" s="1421"/>
      <c r="G58" s="1421"/>
      <c r="H58" s="776" t="s">
        <v>970</v>
      </c>
      <c r="I58" s="777"/>
      <c r="J58" s="778"/>
      <c r="K58" s="778"/>
      <c r="L58" s="778">
        <f t="shared" si="1"/>
        <v>0</v>
      </c>
      <c r="M58" s="778">
        <v>0</v>
      </c>
      <c r="N58" s="778">
        <f>L58*104.2/100</f>
        <v>0</v>
      </c>
      <c r="O58" s="778">
        <f>M58*104.2/100</f>
        <v>0</v>
      </c>
      <c r="P58" s="778">
        <f>N58*104.1/100</f>
        <v>0</v>
      </c>
      <c r="Q58" s="778"/>
      <c r="R58" s="778">
        <f>P58*104.1/100</f>
        <v>0</v>
      </c>
      <c r="S58" s="778"/>
      <c r="T58" s="778">
        <f>R58*104.1/100</f>
        <v>0</v>
      </c>
      <c r="U58" s="778"/>
      <c r="V58" s="778">
        <f t="shared" si="6"/>
        <v>0</v>
      </c>
      <c r="W58" s="779"/>
    </row>
    <row r="59" spans="1:23" s="775" customFormat="1" ht="8.1" customHeight="1" x14ac:dyDescent="0.25">
      <c r="A59" s="1408" t="s">
        <v>1138</v>
      </c>
      <c r="B59" s="1409"/>
      <c r="C59" s="1422" t="s">
        <v>1139</v>
      </c>
      <c r="D59" s="1423"/>
      <c r="E59" s="1423"/>
      <c r="F59" s="1423"/>
      <c r="G59" s="1423"/>
      <c r="H59" s="776" t="s">
        <v>970</v>
      </c>
      <c r="I59" s="777">
        <f>SUM(I60:I64)</f>
        <v>2036.9559999999999</v>
      </c>
      <c r="J59" s="778">
        <f t="shared" ref="J59:Q59" si="11">SUM(J60:J64)</f>
        <v>1847.6210000000001</v>
      </c>
      <c r="K59" s="778">
        <f t="shared" si="11"/>
        <v>1751.758</v>
      </c>
      <c r="L59" s="778">
        <f t="shared" si="11"/>
        <v>58.923000000000002</v>
      </c>
      <c r="M59" s="778">
        <f t="shared" si="11"/>
        <v>58.923000000000002</v>
      </c>
      <c r="N59" s="778">
        <f t="shared" si="11"/>
        <v>61.667000000000002</v>
      </c>
      <c r="O59" s="778">
        <f t="shared" si="11"/>
        <v>74.786000000000001</v>
      </c>
      <c r="P59" s="778">
        <f t="shared" si="11"/>
        <v>63.933999999999997</v>
      </c>
      <c r="Q59" s="778">
        <f t="shared" si="11"/>
        <v>63.981000000000002</v>
      </c>
      <c r="R59" s="778">
        <f>SUM(R60:R64)</f>
        <v>66.36</v>
      </c>
      <c r="S59" s="778">
        <f>SUM(S60:S64)</f>
        <v>66.36</v>
      </c>
      <c r="T59" s="778">
        <f>SUM(T60:T64)</f>
        <v>68.879000000000005</v>
      </c>
      <c r="U59" s="778">
        <f>SUM(U60:U64)</f>
        <v>68.879000000000005</v>
      </c>
      <c r="V59" s="778">
        <f t="shared" si="6"/>
        <v>319.76299999999998</v>
      </c>
      <c r="W59" s="778">
        <f t="shared" si="6"/>
        <v>332.92899999999997</v>
      </c>
    </row>
    <row r="60" spans="1:23" s="775" customFormat="1" ht="16.5" customHeight="1" x14ac:dyDescent="0.25">
      <c r="A60" s="1408" t="s">
        <v>1140</v>
      </c>
      <c r="B60" s="1409"/>
      <c r="C60" s="1420" t="s">
        <v>1141</v>
      </c>
      <c r="D60" s="1421"/>
      <c r="E60" s="1421"/>
      <c r="F60" s="1421"/>
      <c r="G60" s="1421"/>
      <c r="H60" s="776" t="s">
        <v>970</v>
      </c>
      <c r="I60" s="777"/>
      <c r="J60" s="778"/>
      <c r="K60" s="778"/>
      <c r="L60" s="778">
        <f t="shared" si="1"/>
        <v>0</v>
      </c>
      <c r="M60" s="778">
        <v>0</v>
      </c>
      <c r="N60" s="778">
        <f>L60*104.2/100</f>
        <v>0</v>
      </c>
      <c r="O60" s="778">
        <f>M60*104.2/100</f>
        <v>0</v>
      </c>
      <c r="P60" s="778">
        <f>N60*104.1/100</f>
        <v>0</v>
      </c>
      <c r="Q60" s="778"/>
      <c r="R60" s="778">
        <f>P60*104.1/100</f>
        <v>0</v>
      </c>
      <c r="S60" s="778"/>
      <c r="T60" s="778">
        <f>R60*104.1/100</f>
        <v>0</v>
      </c>
      <c r="U60" s="778"/>
      <c r="V60" s="778">
        <f t="shared" si="6"/>
        <v>0</v>
      </c>
      <c r="W60" s="779"/>
    </row>
    <row r="61" spans="1:23" s="775" customFormat="1" ht="16.5" customHeight="1" x14ac:dyDescent="0.25">
      <c r="A61" s="1408" t="s">
        <v>1142</v>
      </c>
      <c r="B61" s="1409"/>
      <c r="C61" s="1420" t="s">
        <v>1143</v>
      </c>
      <c r="D61" s="1421"/>
      <c r="E61" s="1421"/>
      <c r="F61" s="1421"/>
      <c r="G61" s="1421"/>
      <c r="H61" s="776" t="s">
        <v>970</v>
      </c>
      <c r="I61" s="777">
        <v>2036.9559999999999</v>
      </c>
      <c r="J61" s="778">
        <v>1847.6210000000001</v>
      </c>
      <c r="K61" s="778">
        <v>1751.758</v>
      </c>
      <c r="L61" s="778">
        <v>58.923000000000002</v>
      </c>
      <c r="M61" s="778">
        <v>58.923000000000002</v>
      </c>
      <c r="N61" s="778">
        <v>61.667000000000002</v>
      </c>
      <c r="O61" s="778">
        <v>74.786000000000001</v>
      </c>
      <c r="P61" s="778">
        <v>63.933999999999997</v>
      </c>
      <c r="Q61" s="778">
        <v>63.981000000000002</v>
      </c>
      <c r="R61" s="778">
        <v>66.36</v>
      </c>
      <c r="S61" s="778">
        <v>66.36</v>
      </c>
      <c r="T61" s="778">
        <v>68.879000000000005</v>
      </c>
      <c r="U61" s="778">
        <v>68.879000000000005</v>
      </c>
      <c r="V61" s="778">
        <f t="shared" si="6"/>
        <v>319.76299999999998</v>
      </c>
      <c r="W61" s="778">
        <f t="shared" si="6"/>
        <v>332.92899999999997</v>
      </c>
    </row>
    <row r="62" spans="1:23" s="775" customFormat="1" ht="8.1" customHeight="1" x14ac:dyDescent="0.25">
      <c r="A62" s="1408" t="s">
        <v>1144</v>
      </c>
      <c r="B62" s="1409"/>
      <c r="C62" s="1420" t="s">
        <v>1145</v>
      </c>
      <c r="D62" s="1421"/>
      <c r="E62" s="1421"/>
      <c r="F62" s="1421"/>
      <c r="G62" s="1421"/>
      <c r="H62" s="776" t="s">
        <v>970</v>
      </c>
      <c r="I62" s="777"/>
      <c r="J62" s="778"/>
      <c r="K62" s="778"/>
      <c r="L62" s="778">
        <f t="shared" si="1"/>
        <v>0</v>
      </c>
      <c r="M62" s="778">
        <v>0</v>
      </c>
      <c r="N62" s="778">
        <f t="shared" ref="N62:O64" si="12">L62*104.2/100</f>
        <v>0</v>
      </c>
      <c r="O62" s="778">
        <f t="shared" si="12"/>
        <v>0</v>
      </c>
      <c r="P62" s="778">
        <f>N62*104.1/100</f>
        <v>0</v>
      </c>
      <c r="Q62" s="778"/>
      <c r="R62" s="778">
        <f>P62*104.1/100</f>
        <v>0</v>
      </c>
      <c r="S62" s="778"/>
      <c r="T62" s="778">
        <f>R62*104.1/100</f>
        <v>0</v>
      </c>
      <c r="U62" s="778"/>
      <c r="V62" s="778">
        <f t="shared" si="6"/>
        <v>0</v>
      </c>
      <c r="W62" s="779"/>
    </row>
    <row r="63" spans="1:23" s="775" customFormat="1" ht="8.1" customHeight="1" x14ac:dyDescent="0.25">
      <c r="A63" s="1408" t="s">
        <v>1146</v>
      </c>
      <c r="B63" s="1409"/>
      <c r="C63" s="1420" t="s">
        <v>1147</v>
      </c>
      <c r="D63" s="1421"/>
      <c r="E63" s="1421"/>
      <c r="F63" s="1421"/>
      <c r="G63" s="1421"/>
      <c r="H63" s="776" t="s">
        <v>970</v>
      </c>
      <c r="I63" s="777"/>
      <c r="J63" s="778"/>
      <c r="K63" s="778"/>
      <c r="L63" s="778">
        <f t="shared" si="1"/>
        <v>0</v>
      </c>
      <c r="M63" s="778">
        <v>0</v>
      </c>
      <c r="N63" s="778">
        <f t="shared" si="12"/>
        <v>0</v>
      </c>
      <c r="O63" s="778">
        <f t="shared" si="12"/>
        <v>0</v>
      </c>
      <c r="P63" s="778">
        <f>N63*104.1/100</f>
        <v>0</v>
      </c>
      <c r="Q63" s="778"/>
      <c r="R63" s="778">
        <f>P63*104.1/100</f>
        <v>0</v>
      </c>
      <c r="S63" s="778"/>
      <c r="T63" s="778">
        <f>R63*104.1/100</f>
        <v>0</v>
      </c>
      <c r="U63" s="778"/>
      <c r="V63" s="778">
        <f t="shared" si="6"/>
        <v>0</v>
      </c>
      <c r="W63" s="779"/>
    </row>
    <row r="64" spans="1:23" s="775" customFormat="1" ht="8.1" customHeight="1" x14ac:dyDescent="0.25">
      <c r="A64" s="1408" t="s">
        <v>1148</v>
      </c>
      <c r="B64" s="1409"/>
      <c r="C64" s="1420" t="s">
        <v>1149</v>
      </c>
      <c r="D64" s="1421"/>
      <c r="E64" s="1421"/>
      <c r="F64" s="1421"/>
      <c r="G64" s="1421"/>
      <c r="H64" s="776" t="s">
        <v>970</v>
      </c>
      <c r="I64" s="777"/>
      <c r="J64" s="778"/>
      <c r="K64" s="778"/>
      <c r="L64" s="778">
        <f t="shared" si="1"/>
        <v>0</v>
      </c>
      <c r="M64" s="778">
        <v>0</v>
      </c>
      <c r="N64" s="778">
        <f t="shared" si="12"/>
        <v>0</v>
      </c>
      <c r="O64" s="778">
        <f t="shared" si="12"/>
        <v>0</v>
      </c>
      <c r="P64" s="778">
        <f>N64*104.1/100</f>
        <v>0</v>
      </c>
      <c r="Q64" s="778"/>
      <c r="R64" s="778">
        <f>P64*104.1/100</f>
        <v>0</v>
      </c>
      <c r="S64" s="778"/>
      <c r="T64" s="778">
        <f>R64*104.1/100</f>
        <v>0</v>
      </c>
      <c r="U64" s="778"/>
      <c r="V64" s="778">
        <f t="shared" si="6"/>
        <v>0</v>
      </c>
      <c r="W64" s="779"/>
    </row>
    <row r="65" spans="1:23" s="775" customFormat="1" ht="8.1" customHeight="1" x14ac:dyDescent="0.25">
      <c r="A65" s="1408" t="s">
        <v>1150</v>
      </c>
      <c r="B65" s="1409"/>
      <c r="C65" s="1422" t="s">
        <v>1151</v>
      </c>
      <c r="D65" s="1423"/>
      <c r="E65" s="1423"/>
      <c r="F65" s="1423"/>
      <c r="G65" s="1423"/>
      <c r="H65" s="776" t="s">
        <v>970</v>
      </c>
      <c r="I65" s="777">
        <v>370.39800000000002</v>
      </c>
      <c r="J65" s="778">
        <v>414.97399999999999</v>
      </c>
      <c r="K65" s="778">
        <v>444.67</v>
      </c>
      <c r="L65" s="778">
        <f>365.145+111.004</f>
        <v>476.149</v>
      </c>
      <c r="M65" s="778">
        <v>476.149</v>
      </c>
      <c r="N65" s="778">
        <v>495.18099999999998</v>
      </c>
      <c r="O65" s="778">
        <v>490.72800000000001</v>
      </c>
      <c r="P65" s="778">
        <v>504.68799999999999</v>
      </c>
      <c r="Q65" s="778">
        <f>384.263+116.816</f>
        <v>501.07900000000001</v>
      </c>
      <c r="R65" s="778">
        <v>514.37800000000004</v>
      </c>
      <c r="S65" s="778">
        <f>R65</f>
        <v>514.37800000000004</v>
      </c>
      <c r="T65" s="778">
        <v>524.255</v>
      </c>
      <c r="U65" s="778">
        <f>T65</f>
        <v>524.255</v>
      </c>
      <c r="V65" s="778">
        <f t="shared" si="6"/>
        <v>2514.6509999999998</v>
      </c>
      <c r="W65" s="778">
        <f t="shared" si="6"/>
        <v>2506.5889999999999</v>
      </c>
    </row>
    <row r="66" spans="1:23" s="633" customFormat="1" ht="8.1" customHeight="1" x14ac:dyDescent="0.25">
      <c r="A66" s="1408" t="s">
        <v>1152</v>
      </c>
      <c r="B66" s="1409"/>
      <c r="C66" s="1422" t="s">
        <v>1153</v>
      </c>
      <c r="D66" s="1423"/>
      <c r="E66" s="1423"/>
      <c r="F66" s="1423"/>
      <c r="G66" s="1423"/>
      <c r="H66" s="776" t="s">
        <v>970</v>
      </c>
      <c r="I66" s="777">
        <v>66.652000000000001</v>
      </c>
      <c r="J66" s="778">
        <v>67.918000000000006</v>
      </c>
      <c r="K66" s="778">
        <v>75.376000000000005</v>
      </c>
      <c r="L66" s="778">
        <v>72.563000000000002</v>
      </c>
      <c r="M66" s="778">
        <v>72.563000000000002</v>
      </c>
      <c r="N66" s="778">
        <f>L66</f>
        <v>72.563000000000002</v>
      </c>
      <c r="O66" s="778">
        <v>75.376000000000005</v>
      </c>
      <c r="P66" s="778">
        <f>N66</f>
        <v>72.563000000000002</v>
      </c>
      <c r="Q66" s="778">
        <v>81.099000000000004</v>
      </c>
      <c r="R66" s="778">
        <f>P66</f>
        <v>72.563000000000002</v>
      </c>
      <c r="S66" s="778">
        <f>R66</f>
        <v>72.563000000000002</v>
      </c>
      <c r="T66" s="778">
        <f>R66</f>
        <v>72.563000000000002</v>
      </c>
      <c r="U66" s="778">
        <f>T66</f>
        <v>72.563000000000002</v>
      </c>
      <c r="V66" s="778">
        <f t="shared" si="6"/>
        <v>362.815</v>
      </c>
      <c r="W66" s="778">
        <f t="shared" si="6"/>
        <v>374.16399999999999</v>
      </c>
    </row>
    <row r="67" spans="1:23" s="775" customFormat="1" ht="8.1" customHeight="1" x14ac:dyDescent="0.25">
      <c r="A67" s="1408" t="s">
        <v>1154</v>
      </c>
      <c r="B67" s="1409"/>
      <c r="C67" s="1422" t="s">
        <v>1155</v>
      </c>
      <c r="D67" s="1423"/>
      <c r="E67" s="1423"/>
      <c r="F67" s="1423"/>
      <c r="G67" s="1423"/>
      <c r="H67" s="776" t="s">
        <v>970</v>
      </c>
      <c r="I67" s="777">
        <f>I69+I68</f>
        <v>27.428999999999998</v>
      </c>
      <c r="J67" s="778">
        <f t="shared" ref="J67:Q67" si="13">J69+J68</f>
        <v>32.067999999999998</v>
      </c>
      <c r="K67" s="778">
        <f t="shared" si="13"/>
        <v>31.652000000000001</v>
      </c>
      <c r="L67" s="778">
        <f t="shared" si="13"/>
        <v>32.377000000000002</v>
      </c>
      <c r="M67" s="778">
        <v>32.377000000000002</v>
      </c>
      <c r="N67" s="778">
        <f t="shared" si="13"/>
        <v>32.377000000000002</v>
      </c>
      <c r="O67" s="778">
        <v>30.881</v>
      </c>
      <c r="P67" s="778">
        <f t="shared" si="13"/>
        <v>32.377000000000002</v>
      </c>
      <c r="Q67" s="778">
        <f t="shared" si="13"/>
        <v>33.076999999999998</v>
      </c>
      <c r="R67" s="778">
        <f>R69+R68</f>
        <v>32.377000000000002</v>
      </c>
      <c r="S67" s="778">
        <f>S69+S68</f>
        <v>32.377000000000002</v>
      </c>
      <c r="T67" s="778">
        <f>T69+T68</f>
        <v>32.377000000000002</v>
      </c>
      <c r="U67" s="778">
        <f>U69+U68</f>
        <v>32.377000000000002</v>
      </c>
      <c r="V67" s="778">
        <f t="shared" si="6"/>
        <v>161.88499999999999</v>
      </c>
      <c r="W67" s="778">
        <f t="shared" si="6"/>
        <v>161.089</v>
      </c>
    </row>
    <row r="68" spans="1:23" s="775" customFormat="1" ht="8.1" customHeight="1" x14ac:dyDescent="0.25">
      <c r="A68" s="1408" t="s">
        <v>1026</v>
      </c>
      <c r="B68" s="1409"/>
      <c r="C68" s="1420" t="s">
        <v>1156</v>
      </c>
      <c r="D68" s="1421"/>
      <c r="E68" s="1421"/>
      <c r="F68" s="1421"/>
      <c r="G68" s="1421"/>
      <c r="H68" s="776" t="s">
        <v>970</v>
      </c>
      <c r="I68" s="777">
        <v>26.516999999999999</v>
      </c>
      <c r="J68" s="778">
        <v>31.434000000000001</v>
      </c>
      <c r="K68" s="778">
        <v>31.434000000000001</v>
      </c>
      <c r="L68" s="778">
        <v>31.478000000000002</v>
      </c>
      <c r="M68" s="778">
        <v>31.478000000000002</v>
      </c>
      <c r="N68" s="778">
        <v>31.478000000000002</v>
      </c>
      <c r="O68" s="778">
        <v>29.946999999999999</v>
      </c>
      <c r="P68" s="778">
        <v>31.478000000000002</v>
      </c>
      <c r="Q68" s="778">
        <v>32.024999999999999</v>
      </c>
      <c r="R68" s="778">
        <v>31.478000000000002</v>
      </c>
      <c r="S68" s="778">
        <f>R68</f>
        <v>31.478000000000002</v>
      </c>
      <c r="T68" s="778">
        <v>31.478000000000002</v>
      </c>
      <c r="U68" s="778">
        <f>T68</f>
        <v>31.478000000000002</v>
      </c>
      <c r="V68" s="778">
        <f t="shared" si="6"/>
        <v>157.38999999999999</v>
      </c>
      <c r="W68" s="778">
        <f t="shared" si="6"/>
        <v>156.40600000000001</v>
      </c>
    </row>
    <row r="69" spans="1:23" s="775" customFormat="1" ht="8.1" customHeight="1" x14ac:dyDescent="0.25">
      <c r="A69" s="1408" t="s">
        <v>1028</v>
      </c>
      <c r="B69" s="1409"/>
      <c r="C69" s="1420" t="s">
        <v>1157</v>
      </c>
      <c r="D69" s="1421"/>
      <c r="E69" s="1421"/>
      <c r="F69" s="1421"/>
      <c r="G69" s="1421"/>
      <c r="H69" s="776" t="s">
        <v>970</v>
      </c>
      <c r="I69" s="777">
        <v>0.91200000000000003</v>
      </c>
      <c r="J69" s="778">
        <v>0.63400000000000001</v>
      </c>
      <c r="K69" s="778">
        <v>0.218</v>
      </c>
      <c r="L69" s="778">
        <v>0.89900000000000002</v>
      </c>
      <c r="M69" s="778">
        <v>0.89900000000000002</v>
      </c>
      <c r="N69" s="778">
        <v>0.89900000000000002</v>
      </c>
      <c r="O69" s="778">
        <f>O67-O68</f>
        <v>0.93400000000000005</v>
      </c>
      <c r="P69" s="778">
        <v>0.89900000000000002</v>
      </c>
      <c r="Q69" s="778">
        <f>0.327+0.725</f>
        <v>1.052</v>
      </c>
      <c r="R69" s="778">
        <v>0.89900000000000002</v>
      </c>
      <c r="S69" s="778">
        <f>R69</f>
        <v>0.89900000000000002</v>
      </c>
      <c r="T69" s="778">
        <v>0.89900000000000002</v>
      </c>
      <c r="U69" s="778">
        <f>T69</f>
        <v>0.89900000000000002</v>
      </c>
      <c r="V69" s="778">
        <f t="shared" si="6"/>
        <v>4.4950000000000001</v>
      </c>
      <c r="W69" s="778">
        <f t="shared" si="6"/>
        <v>4.6829999999999998</v>
      </c>
    </row>
    <row r="70" spans="1:23" s="775" customFormat="1" ht="8.1" customHeight="1" x14ac:dyDescent="0.25">
      <c r="A70" s="1408" t="s">
        <v>1158</v>
      </c>
      <c r="B70" s="1409"/>
      <c r="C70" s="1422" t="s">
        <v>1159</v>
      </c>
      <c r="D70" s="1423"/>
      <c r="E70" s="1423"/>
      <c r="F70" s="1423"/>
      <c r="G70" s="1423"/>
      <c r="H70" s="776" t="s">
        <v>970</v>
      </c>
      <c r="I70" s="777">
        <f>I73+I72+I71</f>
        <v>87.427000000000007</v>
      </c>
      <c r="J70" s="778">
        <f t="shared" ref="J70:Q70" si="14">J73+J72+J71</f>
        <v>134.97999999999999</v>
      </c>
      <c r="K70" s="778">
        <f t="shared" si="14"/>
        <v>108.34</v>
      </c>
      <c r="L70" s="778">
        <f t="shared" si="14"/>
        <v>116.675</v>
      </c>
      <c r="M70" s="778">
        <v>100.163</v>
      </c>
      <c r="N70" s="778">
        <f t="shared" si="14"/>
        <v>79.635000000000005</v>
      </c>
      <c r="O70" s="778">
        <f t="shared" si="14"/>
        <v>78.796999999999997</v>
      </c>
      <c r="P70" s="778">
        <f t="shared" si="14"/>
        <v>81.084000000000003</v>
      </c>
      <c r="Q70" s="778">
        <f t="shared" si="14"/>
        <v>81.370999999999995</v>
      </c>
      <c r="R70" s="778">
        <f>R73+R72+R71</f>
        <v>82.561000000000007</v>
      </c>
      <c r="S70" s="778">
        <f>S73+S72+S71</f>
        <v>82.561000000000007</v>
      </c>
      <c r="T70" s="778">
        <f>T73+T72+T71</f>
        <v>84.066999999999993</v>
      </c>
      <c r="U70" s="778">
        <f>U73+U72+U71</f>
        <v>84.066999999999993</v>
      </c>
      <c r="V70" s="778">
        <f t="shared" si="6"/>
        <v>444.02199999999999</v>
      </c>
      <c r="W70" s="778">
        <f t="shared" si="6"/>
        <v>426.959</v>
      </c>
    </row>
    <row r="71" spans="1:23" s="775" customFormat="1" ht="8.1" customHeight="1" x14ac:dyDescent="0.25">
      <c r="A71" s="1408" t="s">
        <v>1160</v>
      </c>
      <c r="B71" s="1409"/>
      <c r="C71" s="1420" t="s">
        <v>1161</v>
      </c>
      <c r="D71" s="1421"/>
      <c r="E71" s="1421"/>
      <c r="F71" s="1421"/>
      <c r="G71" s="1421"/>
      <c r="H71" s="776" t="s">
        <v>970</v>
      </c>
      <c r="I71" s="777"/>
      <c r="J71" s="778"/>
      <c r="K71" s="778"/>
      <c r="L71" s="778">
        <f t="shared" si="1"/>
        <v>0</v>
      </c>
      <c r="M71" s="778">
        <v>0</v>
      </c>
      <c r="N71" s="778">
        <f>L71*104.2/100</f>
        <v>0</v>
      </c>
      <c r="O71" s="778">
        <f>M71*104.2/100</f>
        <v>0</v>
      </c>
      <c r="P71" s="778">
        <f>N71*104.1/100</f>
        <v>0</v>
      </c>
      <c r="Q71" s="778"/>
      <c r="R71" s="778">
        <f>P71*104.1/100</f>
        <v>0</v>
      </c>
      <c r="S71" s="778"/>
      <c r="T71" s="778">
        <f>R71*104.1/100</f>
        <v>0</v>
      </c>
      <c r="U71" s="778"/>
      <c r="V71" s="778">
        <f t="shared" si="6"/>
        <v>0</v>
      </c>
      <c r="W71" s="778">
        <f t="shared" si="6"/>
        <v>0</v>
      </c>
    </row>
    <row r="72" spans="1:23" s="775" customFormat="1" ht="8.1" customHeight="1" x14ac:dyDescent="0.25">
      <c r="A72" s="1408" t="s">
        <v>1162</v>
      </c>
      <c r="B72" s="1409"/>
      <c r="C72" s="1420" t="s">
        <v>1163</v>
      </c>
      <c r="D72" s="1421"/>
      <c r="E72" s="1421"/>
      <c r="F72" s="1421"/>
      <c r="G72" s="1421"/>
      <c r="H72" s="776" t="s">
        <v>970</v>
      </c>
      <c r="I72" s="777">
        <v>2.19</v>
      </c>
      <c r="J72" s="778">
        <v>21.72</v>
      </c>
      <c r="K72" s="778">
        <v>3.0459999999999998</v>
      </c>
      <c r="L72" s="778">
        <v>1.8140000000000001</v>
      </c>
      <c r="M72" s="778">
        <v>1.8140000000000001</v>
      </c>
      <c r="N72" s="778">
        <v>1.8140000000000001</v>
      </c>
      <c r="O72" s="778">
        <v>3.0459999999999998</v>
      </c>
      <c r="P72" s="778">
        <f>N72*104/100</f>
        <v>1.887</v>
      </c>
      <c r="Q72" s="778">
        <v>2.4350000000000001</v>
      </c>
      <c r="R72" s="778">
        <f>P72*104/100</f>
        <v>1.962</v>
      </c>
      <c r="S72" s="778">
        <f>R72</f>
        <v>1.962</v>
      </c>
      <c r="T72" s="778">
        <f>R72*104/100</f>
        <v>2.04</v>
      </c>
      <c r="U72" s="778">
        <f>T72</f>
        <v>2.04</v>
      </c>
      <c r="V72" s="778">
        <f t="shared" si="6"/>
        <v>9.5169999999999995</v>
      </c>
      <c r="W72" s="778">
        <f t="shared" si="6"/>
        <v>11.297000000000001</v>
      </c>
    </row>
    <row r="73" spans="1:23" s="775" customFormat="1" ht="9" customHeight="1" thickBot="1" x14ac:dyDescent="0.3">
      <c r="A73" s="1430" t="s">
        <v>1164</v>
      </c>
      <c r="B73" s="1431"/>
      <c r="C73" s="1432" t="s">
        <v>1165</v>
      </c>
      <c r="D73" s="1433"/>
      <c r="E73" s="1433"/>
      <c r="F73" s="1433"/>
      <c r="G73" s="1433"/>
      <c r="H73" s="783" t="s">
        <v>970</v>
      </c>
      <c r="I73" s="784">
        <f t="shared" ref="I73:U73" si="15">I35-I50-I59-I65-I66-I67-I72</f>
        <v>85.236999999999995</v>
      </c>
      <c r="J73" s="785">
        <f t="shared" si="15"/>
        <v>113.26</v>
      </c>
      <c r="K73" s="785">
        <f t="shared" si="15"/>
        <v>105.294</v>
      </c>
      <c r="L73" s="785">
        <f t="shared" si="15"/>
        <v>114.861</v>
      </c>
      <c r="M73" s="785">
        <f t="shared" si="15"/>
        <v>114.861</v>
      </c>
      <c r="N73" s="785">
        <f t="shared" si="15"/>
        <v>77.820999999999998</v>
      </c>
      <c r="O73" s="785">
        <f t="shared" si="15"/>
        <v>75.751000000000005</v>
      </c>
      <c r="P73" s="785">
        <f t="shared" si="15"/>
        <v>79.197000000000003</v>
      </c>
      <c r="Q73" s="785">
        <f t="shared" si="15"/>
        <v>78.936000000000007</v>
      </c>
      <c r="R73" s="785">
        <f t="shared" si="15"/>
        <v>80.599000000000004</v>
      </c>
      <c r="S73" s="785">
        <f t="shared" si="15"/>
        <v>80.599000000000004</v>
      </c>
      <c r="T73" s="785">
        <f t="shared" si="15"/>
        <v>82.027000000000001</v>
      </c>
      <c r="U73" s="785">
        <f t="shared" si="15"/>
        <v>82.027000000000001</v>
      </c>
      <c r="V73" s="785">
        <f t="shared" si="6"/>
        <v>434.505</v>
      </c>
      <c r="W73" s="785">
        <f t="shared" si="6"/>
        <v>432.17399999999998</v>
      </c>
    </row>
    <row r="74" spans="1:23" s="775" customFormat="1" ht="9.75" customHeight="1" x14ac:dyDescent="0.25">
      <c r="A74" s="1442" t="s">
        <v>1166</v>
      </c>
      <c r="B74" s="1443"/>
      <c r="C74" s="1444" t="s">
        <v>1167</v>
      </c>
      <c r="D74" s="1445"/>
      <c r="E74" s="1445"/>
      <c r="F74" s="1445"/>
      <c r="G74" s="1445"/>
      <c r="H74" s="786" t="s">
        <v>970</v>
      </c>
      <c r="I74" s="787">
        <f>I77</f>
        <v>0</v>
      </c>
      <c r="J74" s="788">
        <f t="shared" ref="J74:W74" si="16">J77</f>
        <v>0</v>
      </c>
      <c r="K74" s="788">
        <f t="shared" si="16"/>
        <v>0</v>
      </c>
      <c r="L74" s="788">
        <f t="shared" si="1"/>
        <v>0</v>
      </c>
      <c r="M74" s="788">
        <f t="shared" si="1"/>
        <v>0</v>
      </c>
      <c r="N74" s="788">
        <f t="shared" si="16"/>
        <v>0</v>
      </c>
      <c r="O74" s="788">
        <f t="shared" si="16"/>
        <v>0</v>
      </c>
      <c r="P74" s="788">
        <f t="shared" si="16"/>
        <v>0</v>
      </c>
      <c r="Q74" s="788">
        <f t="shared" si="16"/>
        <v>0</v>
      </c>
      <c r="R74" s="788">
        <f>R77</f>
        <v>0</v>
      </c>
      <c r="S74" s="788">
        <f>S77</f>
        <v>0</v>
      </c>
      <c r="T74" s="788">
        <f>T77</f>
        <v>0</v>
      </c>
      <c r="U74" s="788">
        <f>U77</f>
        <v>0</v>
      </c>
      <c r="V74" s="788">
        <f t="shared" si="6"/>
        <v>0</v>
      </c>
      <c r="W74" s="789">
        <f t="shared" si="16"/>
        <v>0</v>
      </c>
    </row>
    <row r="75" spans="1:23" s="775" customFormat="1" ht="8.1" customHeight="1" x14ac:dyDescent="0.25">
      <c r="A75" s="1408" t="s">
        <v>1168</v>
      </c>
      <c r="B75" s="1409"/>
      <c r="C75" s="1420" t="s">
        <v>1169</v>
      </c>
      <c r="D75" s="1421"/>
      <c r="E75" s="1421"/>
      <c r="F75" s="1421"/>
      <c r="G75" s="1421"/>
      <c r="H75" s="776" t="s">
        <v>970</v>
      </c>
      <c r="I75" s="777"/>
      <c r="J75" s="778"/>
      <c r="K75" s="778"/>
      <c r="L75" s="778">
        <f t="shared" si="1"/>
        <v>0</v>
      </c>
      <c r="M75" s="778">
        <f t="shared" si="1"/>
        <v>0</v>
      </c>
      <c r="N75" s="778">
        <f>L75*104.2/100</f>
        <v>0</v>
      </c>
      <c r="O75" s="778"/>
      <c r="P75" s="778">
        <f>N75*104.1/100</f>
        <v>0</v>
      </c>
      <c r="Q75" s="778"/>
      <c r="R75" s="778">
        <f>P75*104.1/100</f>
        <v>0</v>
      </c>
      <c r="S75" s="778"/>
      <c r="T75" s="778">
        <f>R75*104.1/100</f>
        <v>0</v>
      </c>
      <c r="U75" s="778"/>
      <c r="V75" s="778">
        <f t="shared" si="6"/>
        <v>0</v>
      </c>
      <c r="W75" s="779"/>
    </row>
    <row r="76" spans="1:23" s="775" customFormat="1" ht="8.1" customHeight="1" x14ac:dyDescent="0.25">
      <c r="A76" s="1408" t="s">
        <v>1170</v>
      </c>
      <c r="B76" s="1409"/>
      <c r="C76" s="1420" t="s">
        <v>1171</v>
      </c>
      <c r="D76" s="1421"/>
      <c r="E76" s="1421"/>
      <c r="F76" s="1421"/>
      <c r="G76" s="1421"/>
      <c r="H76" s="776" t="s">
        <v>970</v>
      </c>
      <c r="I76" s="777"/>
      <c r="J76" s="778"/>
      <c r="K76" s="778"/>
      <c r="L76" s="778">
        <f t="shared" si="1"/>
        <v>0</v>
      </c>
      <c r="M76" s="778">
        <f t="shared" si="1"/>
        <v>0</v>
      </c>
      <c r="N76" s="778">
        <f>L76*104.2/100</f>
        <v>0</v>
      </c>
      <c r="O76" s="778"/>
      <c r="P76" s="778">
        <f>N76*104.1/100</f>
        <v>0</v>
      </c>
      <c r="Q76" s="778"/>
      <c r="R76" s="778">
        <f>P76*104.1/100</f>
        <v>0</v>
      </c>
      <c r="S76" s="778"/>
      <c r="T76" s="778">
        <f>R76*104.1/100</f>
        <v>0</v>
      </c>
      <c r="U76" s="778"/>
      <c r="V76" s="778">
        <f t="shared" si="6"/>
        <v>0</v>
      </c>
      <c r="W76" s="779"/>
    </row>
    <row r="77" spans="1:23" s="775" customFormat="1" ht="9" customHeight="1" thickBot="1" x14ac:dyDescent="0.3">
      <c r="A77" s="1434" t="s">
        <v>1172</v>
      </c>
      <c r="B77" s="1435"/>
      <c r="C77" s="1436" t="s">
        <v>1173</v>
      </c>
      <c r="D77" s="1437"/>
      <c r="E77" s="1437"/>
      <c r="F77" s="1437"/>
      <c r="G77" s="1437"/>
      <c r="H77" s="790" t="s">
        <v>970</v>
      </c>
      <c r="I77" s="791"/>
      <c r="J77" s="792"/>
      <c r="K77" s="792"/>
      <c r="L77" s="792">
        <f t="shared" si="1"/>
        <v>0</v>
      </c>
      <c r="M77" s="792">
        <f t="shared" si="1"/>
        <v>0</v>
      </c>
      <c r="N77" s="792">
        <f>L77*104.2/100</f>
        <v>0</v>
      </c>
      <c r="O77" s="792"/>
      <c r="P77" s="792">
        <f>N77*104.1/100</f>
        <v>0</v>
      </c>
      <c r="Q77" s="792"/>
      <c r="R77" s="792">
        <f>P77*104.1/100</f>
        <v>0</v>
      </c>
      <c r="S77" s="792"/>
      <c r="T77" s="792">
        <f>R77*104.1/100</f>
        <v>0</v>
      </c>
      <c r="U77" s="792"/>
      <c r="V77" s="792">
        <f t="shared" si="6"/>
        <v>0</v>
      </c>
      <c r="W77" s="793"/>
    </row>
    <row r="78" spans="1:23" s="775" customFormat="1" ht="9" customHeight="1" x14ac:dyDescent="0.25">
      <c r="A78" s="1438" t="s">
        <v>1174</v>
      </c>
      <c r="B78" s="1439"/>
      <c r="C78" s="1440" t="s">
        <v>1175</v>
      </c>
      <c r="D78" s="1441"/>
      <c r="E78" s="1441"/>
      <c r="F78" s="1441"/>
      <c r="G78" s="1441"/>
      <c r="H78" s="794" t="s">
        <v>970</v>
      </c>
      <c r="I78" s="795">
        <f>I79+I84+I87+I92</f>
        <v>93.936999999999998</v>
      </c>
      <c r="J78" s="796">
        <f t="shared" ref="J78:W78" si="17">J79+J84+J87+J92</f>
        <v>285.35399999999998</v>
      </c>
      <c r="K78" s="796">
        <f t="shared" si="17"/>
        <v>267.28699999999998</v>
      </c>
      <c r="L78" s="796">
        <f t="shared" si="17"/>
        <v>-21.683</v>
      </c>
      <c r="M78" s="796">
        <f t="shared" si="17"/>
        <v>-21.683</v>
      </c>
      <c r="N78" s="796">
        <f t="shared" si="17"/>
        <v>-46.319000000000003</v>
      </c>
      <c r="O78" s="796">
        <f t="shared" si="17"/>
        <v>35.268000000000001</v>
      </c>
      <c r="P78" s="796">
        <f t="shared" si="17"/>
        <v>-22.344000000000001</v>
      </c>
      <c r="Q78" s="796">
        <f t="shared" si="17"/>
        <v>249.946</v>
      </c>
      <c r="R78" s="796">
        <f>R79+R84+R87+R92</f>
        <v>1.746</v>
      </c>
      <c r="S78" s="796">
        <f>S79+S84+S87+S92</f>
        <v>16.745999999999999</v>
      </c>
      <c r="T78" s="796">
        <f>T79+T84+T87+T92</f>
        <v>1.78</v>
      </c>
      <c r="U78" s="796">
        <f>U79+U84+U87+U92</f>
        <v>25.068000000000001</v>
      </c>
      <c r="V78" s="796">
        <f t="shared" si="6"/>
        <v>-86.82</v>
      </c>
      <c r="W78" s="797">
        <f t="shared" si="17"/>
        <v>251.31399999999999</v>
      </c>
    </row>
    <row r="79" spans="1:23" s="775" customFormat="1" ht="8.1" customHeight="1" x14ac:dyDescent="0.25">
      <c r="A79" s="1408" t="s">
        <v>1176</v>
      </c>
      <c r="B79" s="1409"/>
      <c r="C79" s="1410" t="s">
        <v>1098</v>
      </c>
      <c r="D79" s="1411"/>
      <c r="E79" s="1411"/>
      <c r="F79" s="1411"/>
      <c r="G79" s="1411"/>
      <c r="H79" s="776" t="s">
        <v>970</v>
      </c>
      <c r="I79" s="777"/>
      <c r="J79" s="778"/>
      <c r="K79" s="778"/>
      <c r="L79" s="778">
        <f t="shared" si="1"/>
        <v>0</v>
      </c>
      <c r="M79" s="778">
        <f t="shared" si="1"/>
        <v>0</v>
      </c>
      <c r="N79" s="778">
        <f>L79*104.2/100</f>
        <v>0</v>
      </c>
      <c r="O79" s="778"/>
      <c r="P79" s="778">
        <f>N79*104.1/100</f>
        <v>0</v>
      </c>
      <c r="Q79" s="778"/>
      <c r="R79" s="778">
        <f>P79*104.1/100</f>
        <v>0</v>
      </c>
      <c r="S79" s="778"/>
      <c r="T79" s="778">
        <f>R79*104.1/100</f>
        <v>0</v>
      </c>
      <c r="U79" s="778"/>
      <c r="V79" s="778">
        <f t="shared" si="6"/>
        <v>0</v>
      </c>
      <c r="W79" s="779"/>
    </row>
    <row r="80" spans="1:23" s="775" customFormat="1" ht="16.5" customHeight="1" x14ac:dyDescent="0.25">
      <c r="A80" s="1408" t="s">
        <v>1177</v>
      </c>
      <c r="B80" s="1409"/>
      <c r="C80" s="1420" t="s">
        <v>1099</v>
      </c>
      <c r="D80" s="1421"/>
      <c r="E80" s="1421"/>
      <c r="F80" s="1421"/>
      <c r="G80" s="1421"/>
      <c r="H80" s="776" t="s">
        <v>970</v>
      </c>
      <c r="I80" s="777"/>
      <c r="J80" s="778"/>
      <c r="K80" s="778"/>
      <c r="L80" s="778">
        <f t="shared" si="1"/>
        <v>0</v>
      </c>
      <c r="M80" s="778">
        <f t="shared" si="1"/>
        <v>0</v>
      </c>
      <c r="N80" s="778">
        <f>L80*104.2/100</f>
        <v>0</v>
      </c>
      <c r="O80" s="778"/>
      <c r="P80" s="778">
        <f>N80*104.1/100</f>
        <v>0</v>
      </c>
      <c r="Q80" s="778"/>
      <c r="R80" s="778">
        <f>P80*104.1/100</f>
        <v>0</v>
      </c>
      <c r="S80" s="778"/>
      <c r="T80" s="778">
        <f>R80*104.1/100</f>
        <v>0</v>
      </c>
      <c r="U80" s="778"/>
      <c r="V80" s="778">
        <f t="shared" si="6"/>
        <v>0</v>
      </c>
      <c r="W80" s="779"/>
    </row>
    <row r="81" spans="1:23" s="775" customFormat="1" ht="16.5" customHeight="1" x14ac:dyDescent="0.25">
      <c r="A81" s="1408" t="s">
        <v>1178</v>
      </c>
      <c r="B81" s="1409"/>
      <c r="C81" s="1420" t="s">
        <v>1100</v>
      </c>
      <c r="D81" s="1421"/>
      <c r="E81" s="1421"/>
      <c r="F81" s="1421"/>
      <c r="G81" s="1421"/>
      <c r="H81" s="776" t="s">
        <v>970</v>
      </c>
      <c r="I81" s="798"/>
      <c r="J81" s="778"/>
      <c r="K81" s="778"/>
      <c r="L81" s="778">
        <f t="shared" si="1"/>
        <v>0</v>
      </c>
      <c r="M81" s="778">
        <f t="shared" si="1"/>
        <v>0</v>
      </c>
      <c r="N81" s="778">
        <f>L81*104.2/100</f>
        <v>0</v>
      </c>
      <c r="O81" s="778"/>
      <c r="P81" s="778">
        <f>N81*104.1/100</f>
        <v>0</v>
      </c>
      <c r="Q81" s="778"/>
      <c r="R81" s="778">
        <f>P81*104.1/100</f>
        <v>0</v>
      </c>
      <c r="S81" s="778"/>
      <c r="T81" s="778">
        <f>R81*104.1/100</f>
        <v>0</v>
      </c>
      <c r="U81" s="778"/>
      <c r="V81" s="778">
        <f t="shared" si="6"/>
        <v>0</v>
      </c>
      <c r="W81" s="799"/>
    </row>
    <row r="82" spans="1:23" s="775" customFormat="1" ht="16.5" customHeight="1" x14ac:dyDescent="0.25">
      <c r="A82" s="1446" t="s">
        <v>1179</v>
      </c>
      <c r="B82" s="1447"/>
      <c r="C82" s="1420" t="s">
        <v>1101</v>
      </c>
      <c r="D82" s="1421"/>
      <c r="E82" s="1421"/>
      <c r="F82" s="1421"/>
      <c r="G82" s="1421"/>
      <c r="H82" s="776" t="s">
        <v>970</v>
      </c>
      <c r="I82" s="777"/>
      <c r="J82" s="778"/>
      <c r="K82" s="778"/>
      <c r="L82" s="778">
        <f t="shared" si="1"/>
        <v>0</v>
      </c>
      <c r="M82" s="778">
        <f t="shared" si="1"/>
        <v>0</v>
      </c>
      <c r="N82" s="778">
        <f>L82*104.2/100</f>
        <v>0</v>
      </c>
      <c r="O82" s="778"/>
      <c r="P82" s="778">
        <f>N82*104.1/100</f>
        <v>0</v>
      </c>
      <c r="Q82" s="778"/>
      <c r="R82" s="778">
        <f>P82*104.1/100</f>
        <v>0</v>
      </c>
      <c r="S82" s="778"/>
      <c r="T82" s="778">
        <f>R82*104.1/100</f>
        <v>0</v>
      </c>
      <c r="U82" s="778"/>
      <c r="V82" s="778">
        <f t="shared" si="6"/>
        <v>0</v>
      </c>
      <c r="W82" s="779"/>
    </row>
    <row r="83" spans="1:23" s="775" customFormat="1" ht="8.1" customHeight="1" x14ac:dyDescent="0.25">
      <c r="A83" s="1408" t="s">
        <v>1180</v>
      </c>
      <c r="B83" s="1409"/>
      <c r="C83" s="1410" t="s">
        <v>1102</v>
      </c>
      <c r="D83" s="1411"/>
      <c r="E83" s="1411"/>
      <c r="F83" s="1411"/>
      <c r="G83" s="1411"/>
      <c r="H83" s="776" t="s">
        <v>970</v>
      </c>
      <c r="I83" s="777"/>
      <c r="J83" s="778"/>
      <c r="K83" s="778"/>
      <c r="L83" s="778">
        <f t="shared" si="1"/>
        <v>0</v>
      </c>
      <c r="M83" s="778">
        <f t="shared" si="1"/>
        <v>0</v>
      </c>
      <c r="N83" s="778">
        <f>L83*104.2/100</f>
        <v>0</v>
      </c>
      <c r="O83" s="778"/>
      <c r="P83" s="778">
        <f>N83*104.1/100</f>
        <v>0</v>
      </c>
      <c r="Q83" s="778"/>
      <c r="R83" s="778">
        <f>P83*104.1/100</f>
        <v>0</v>
      </c>
      <c r="S83" s="778"/>
      <c r="T83" s="778">
        <f>R83*104.1/100</f>
        <v>0</v>
      </c>
      <c r="U83" s="778"/>
      <c r="V83" s="778">
        <f t="shared" si="6"/>
        <v>0</v>
      </c>
      <c r="W83" s="779"/>
    </row>
    <row r="84" spans="1:23" s="775" customFormat="1" ht="8.1" customHeight="1" x14ac:dyDescent="0.25">
      <c r="A84" s="1408" t="s">
        <v>1181</v>
      </c>
      <c r="B84" s="1409"/>
      <c r="C84" s="1422" t="s">
        <v>1103</v>
      </c>
      <c r="D84" s="1423"/>
      <c r="E84" s="1423"/>
      <c r="F84" s="1423"/>
      <c r="G84" s="1423"/>
      <c r="H84" s="776" t="s">
        <v>970</v>
      </c>
      <c r="I84" s="777">
        <f>I26-I41</f>
        <v>20.898</v>
      </c>
      <c r="J84" s="778">
        <f t="shared" ref="J84:W84" si="18">J26-J41</f>
        <v>225.46899999999999</v>
      </c>
      <c r="K84" s="778">
        <f t="shared" si="18"/>
        <v>206.83199999999999</v>
      </c>
      <c r="L84" s="778">
        <f t="shared" si="18"/>
        <v>-21.683</v>
      </c>
      <c r="M84" s="778">
        <f t="shared" si="18"/>
        <v>-21.683</v>
      </c>
      <c r="N84" s="778">
        <f t="shared" si="18"/>
        <v>-46.319000000000003</v>
      </c>
      <c r="O84" s="778">
        <f t="shared" si="18"/>
        <v>-18.763000000000002</v>
      </c>
      <c r="P84" s="778">
        <f t="shared" si="18"/>
        <v>-22.344000000000001</v>
      </c>
      <c r="Q84" s="778">
        <f t="shared" si="18"/>
        <v>249.946</v>
      </c>
      <c r="R84" s="778">
        <f>R26-R41</f>
        <v>1.746</v>
      </c>
      <c r="S84" s="778">
        <f>S26-S41</f>
        <v>16.745999999999999</v>
      </c>
      <c r="T84" s="778">
        <f>T26-T41</f>
        <v>1.78</v>
      </c>
      <c r="U84" s="778">
        <f>U26-U41</f>
        <v>25.068000000000001</v>
      </c>
      <c r="V84" s="778">
        <f t="shared" si="6"/>
        <v>-86.82</v>
      </c>
      <c r="W84" s="1094">
        <f t="shared" si="18"/>
        <v>251.31399999999999</v>
      </c>
    </row>
    <row r="85" spans="1:23" s="775" customFormat="1" ht="8.1" customHeight="1" x14ac:dyDescent="0.25">
      <c r="A85" s="1408" t="s">
        <v>1182</v>
      </c>
      <c r="B85" s="1409"/>
      <c r="C85" s="1410" t="s">
        <v>1104</v>
      </c>
      <c r="D85" s="1411"/>
      <c r="E85" s="1411"/>
      <c r="F85" s="1411"/>
      <c r="G85" s="1411"/>
      <c r="H85" s="776" t="s">
        <v>970</v>
      </c>
      <c r="I85" s="777"/>
      <c r="J85" s="778"/>
      <c r="K85" s="778"/>
      <c r="L85" s="778">
        <f t="shared" si="1"/>
        <v>0</v>
      </c>
      <c r="M85" s="778">
        <f t="shared" si="1"/>
        <v>0</v>
      </c>
      <c r="N85" s="778">
        <f t="shared" ref="N85:N91" si="19">L85*104.2/100</f>
        <v>0</v>
      </c>
      <c r="O85" s="778"/>
      <c r="P85" s="778">
        <f t="shared" ref="P85:P91" si="20">N85*104.1/100</f>
        <v>0</v>
      </c>
      <c r="Q85" s="778"/>
      <c r="R85" s="778">
        <f t="shared" ref="R85:R91" si="21">P85*104.1/100</f>
        <v>0</v>
      </c>
      <c r="S85" s="778"/>
      <c r="T85" s="778">
        <f t="shared" ref="T85:T91" si="22">R85*104.1/100</f>
        <v>0</v>
      </c>
      <c r="U85" s="778"/>
      <c r="V85" s="778">
        <f t="shared" si="6"/>
        <v>0</v>
      </c>
      <c r="W85" s="779"/>
    </row>
    <row r="86" spans="1:23" s="775" customFormat="1" ht="8.1" customHeight="1" x14ac:dyDescent="0.25">
      <c r="A86" s="1408" t="s">
        <v>1183</v>
      </c>
      <c r="B86" s="1409"/>
      <c r="C86" s="1410" t="s">
        <v>1105</v>
      </c>
      <c r="D86" s="1411"/>
      <c r="E86" s="1411"/>
      <c r="F86" s="1411"/>
      <c r="G86" s="1411"/>
      <c r="H86" s="776" t="s">
        <v>970</v>
      </c>
      <c r="I86" s="777"/>
      <c r="J86" s="778"/>
      <c r="K86" s="778"/>
      <c r="L86" s="778">
        <f t="shared" si="1"/>
        <v>0</v>
      </c>
      <c r="M86" s="778">
        <f t="shared" si="1"/>
        <v>0</v>
      </c>
      <c r="N86" s="778">
        <f t="shared" si="19"/>
        <v>0</v>
      </c>
      <c r="O86" s="778"/>
      <c r="P86" s="778">
        <f t="shared" si="20"/>
        <v>0</v>
      </c>
      <c r="Q86" s="778"/>
      <c r="R86" s="778">
        <f t="shared" si="21"/>
        <v>0</v>
      </c>
      <c r="S86" s="778"/>
      <c r="T86" s="778">
        <f t="shared" si="22"/>
        <v>0</v>
      </c>
      <c r="U86" s="778"/>
      <c r="V86" s="778">
        <f t="shared" si="6"/>
        <v>0</v>
      </c>
      <c r="W86" s="779"/>
    </row>
    <row r="87" spans="1:23" s="775" customFormat="1" ht="8.1" customHeight="1" x14ac:dyDescent="0.25">
      <c r="A87" s="1408" t="s">
        <v>1184</v>
      </c>
      <c r="B87" s="1409"/>
      <c r="C87" s="1410" t="s">
        <v>1106</v>
      </c>
      <c r="D87" s="1411"/>
      <c r="E87" s="1411"/>
      <c r="F87" s="1411"/>
      <c r="G87" s="1411"/>
      <c r="H87" s="776" t="s">
        <v>970</v>
      </c>
      <c r="I87" s="777"/>
      <c r="J87" s="778"/>
      <c r="K87" s="778"/>
      <c r="L87" s="778">
        <f t="shared" si="1"/>
        <v>0</v>
      </c>
      <c r="M87" s="778">
        <f t="shared" si="1"/>
        <v>0</v>
      </c>
      <c r="N87" s="778">
        <f t="shared" si="19"/>
        <v>0</v>
      </c>
      <c r="O87" s="778"/>
      <c r="P87" s="778">
        <f t="shared" si="20"/>
        <v>0</v>
      </c>
      <c r="Q87" s="778"/>
      <c r="R87" s="778">
        <f t="shared" si="21"/>
        <v>0</v>
      </c>
      <c r="S87" s="778"/>
      <c r="T87" s="778">
        <f t="shared" si="22"/>
        <v>0</v>
      </c>
      <c r="U87" s="778"/>
      <c r="V87" s="778">
        <f t="shared" si="6"/>
        <v>0</v>
      </c>
      <c r="W87" s="779"/>
    </row>
    <row r="88" spans="1:23" s="775" customFormat="1" ht="8.1" customHeight="1" x14ac:dyDescent="0.25">
      <c r="A88" s="1408" t="s">
        <v>1185</v>
      </c>
      <c r="B88" s="1409"/>
      <c r="C88" s="1410" t="s">
        <v>1108</v>
      </c>
      <c r="D88" s="1411"/>
      <c r="E88" s="1411"/>
      <c r="F88" s="1411"/>
      <c r="G88" s="1411"/>
      <c r="H88" s="776" t="s">
        <v>970</v>
      </c>
      <c r="I88" s="777"/>
      <c r="J88" s="778"/>
      <c r="K88" s="778"/>
      <c r="L88" s="778">
        <f t="shared" si="1"/>
        <v>0</v>
      </c>
      <c r="M88" s="778">
        <f t="shared" si="1"/>
        <v>0</v>
      </c>
      <c r="N88" s="778">
        <f t="shared" si="19"/>
        <v>0</v>
      </c>
      <c r="O88" s="778"/>
      <c r="P88" s="778">
        <f t="shared" si="20"/>
        <v>0</v>
      </c>
      <c r="Q88" s="778"/>
      <c r="R88" s="778">
        <f t="shared" si="21"/>
        <v>0</v>
      </c>
      <c r="S88" s="778"/>
      <c r="T88" s="778">
        <f t="shared" si="22"/>
        <v>0</v>
      </c>
      <c r="U88" s="778"/>
      <c r="V88" s="778">
        <f t="shared" si="6"/>
        <v>0</v>
      </c>
      <c r="W88" s="779"/>
    </row>
    <row r="89" spans="1:23" s="775" customFormat="1" ht="16.5" customHeight="1" x14ac:dyDescent="0.25">
      <c r="A89" s="1408" t="s">
        <v>1186</v>
      </c>
      <c r="B89" s="1409"/>
      <c r="C89" s="1410" t="s">
        <v>1110</v>
      </c>
      <c r="D89" s="1411"/>
      <c r="E89" s="1411"/>
      <c r="F89" s="1411"/>
      <c r="G89" s="1411"/>
      <c r="H89" s="776" t="s">
        <v>970</v>
      </c>
      <c r="I89" s="777"/>
      <c r="J89" s="778"/>
      <c r="K89" s="778"/>
      <c r="L89" s="778">
        <f t="shared" si="1"/>
        <v>0</v>
      </c>
      <c r="M89" s="778">
        <f t="shared" si="1"/>
        <v>0</v>
      </c>
      <c r="N89" s="778">
        <f t="shared" si="19"/>
        <v>0</v>
      </c>
      <c r="O89" s="778"/>
      <c r="P89" s="778">
        <f t="shared" si="20"/>
        <v>0</v>
      </c>
      <c r="Q89" s="778"/>
      <c r="R89" s="778">
        <f t="shared" si="21"/>
        <v>0</v>
      </c>
      <c r="S89" s="778"/>
      <c r="T89" s="778">
        <f t="shared" si="22"/>
        <v>0</v>
      </c>
      <c r="U89" s="778"/>
      <c r="V89" s="778">
        <f t="shared" si="6"/>
        <v>0</v>
      </c>
      <c r="W89" s="779"/>
    </row>
    <row r="90" spans="1:23" s="775" customFormat="1" ht="8.1" customHeight="1" x14ac:dyDescent="0.25">
      <c r="A90" s="1408" t="s">
        <v>1187</v>
      </c>
      <c r="B90" s="1409"/>
      <c r="C90" s="1420" t="s">
        <v>1112</v>
      </c>
      <c r="D90" s="1421"/>
      <c r="E90" s="1421"/>
      <c r="F90" s="1421"/>
      <c r="G90" s="1421"/>
      <c r="H90" s="776" t="s">
        <v>970</v>
      </c>
      <c r="I90" s="777"/>
      <c r="J90" s="778"/>
      <c r="K90" s="778"/>
      <c r="L90" s="778">
        <f t="shared" si="1"/>
        <v>0</v>
      </c>
      <c r="M90" s="778">
        <f t="shared" si="1"/>
        <v>0</v>
      </c>
      <c r="N90" s="778">
        <f t="shared" si="19"/>
        <v>0</v>
      </c>
      <c r="O90" s="778"/>
      <c r="P90" s="778">
        <f t="shared" si="20"/>
        <v>0</v>
      </c>
      <c r="Q90" s="778"/>
      <c r="R90" s="778">
        <f t="shared" si="21"/>
        <v>0</v>
      </c>
      <c r="S90" s="778"/>
      <c r="T90" s="778">
        <f t="shared" si="22"/>
        <v>0</v>
      </c>
      <c r="U90" s="778"/>
      <c r="V90" s="778">
        <f t="shared" si="6"/>
        <v>0</v>
      </c>
      <c r="W90" s="779"/>
    </row>
    <row r="91" spans="1:23" s="775" customFormat="1" ht="8.1" customHeight="1" x14ac:dyDescent="0.25">
      <c r="A91" s="1408" t="s">
        <v>1188</v>
      </c>
      <c r="B91" s="1409"/>
      <c r="C91" s="1420" t="s">
        <v>988</v>
      </c>
      <c r="D91" s="1421"/>
      <c r="E91" s="1421"/>
      <c r="F91" s="1421"/>
      <c r="G91" s="1421"/>
      <c r="H91" s="776" t="s">
        <v>970</v>
      </c>
      <c r="I91" s="777"/>
      <c r="J91" s="778"/>
      <c r="K91" s="778"/>
      <c r="L91" s="778">
        <f t="shared" ref="L91:M154" si="23">K91*104.4/100</f>
        <v>0</v>
      </c>
      <c r="M91" s="778">
        <f t="shared" si="23"/>
        <v>0</v>
      </c>
      <c r="N91" s="778">
        <f t="shared" si="19"/>
        <v>0</v>
      </c>
      <c r="O91" s="778"/>
      <c r="P91" s="778">
        <f t="shared" si="20"/>
        <v>0</v>
      </c>
      <c r="Q91" s="778"/>
      <c r="R91" s="778">
        <f t="shared" si="21"/>
        <v>0</v>
      </c>
      <c r="S91" s="778"/>
      <c r="T91" s="778">
        <f t="shared" si="22"/>
        <v>0</v>
      </c>
      <c r="U91" s="778"/>
      <c r="V91" s="778">
        <f t="shared" ref="V91:V154" si="24">L91+N91+P91+R91+T91</f>
        <v>0</v>
      </c>
      <c r="W91" s="779"/>
    </row>
    <row r="92" spans="1:23" s="775" customFormat="1" ht="8.1" customHeight="1" x14ac:dyDescent="0.25">
      <c r="A92" s="1408" t="s">
        <v>1189</v>
      </c>
      <c r="B92" s="1409"/>
      <c r="C92" s="1422" t="s">
        <v>1115</v>
      </c>
      <c r="D92" s="1423"/>
      <c r="E92" s="1423"/>
      <c r="F92" s="1423"/>
      <c r="G92" s="1423"/>
      <c r="H92" s="776" t="s">
        <v>970</v>
      </c>
      <c r="I92" s="777">
        <f>I34-I49</f>
        <v>73.039000000000001</v>
      </c>
      <c r="J92" s="778">
        <f t="shared" ref="J92:W92" si="25">J34-J49</f>
        <v>59.884999999999998</v>
      </c>
      <c r="K92" s="778">
        <f t="shared" si="25"/>
        <v>60.454999999999998</v>
      </c>
      <c r="L92" s="778">
        <f t="shared" si="25"/>
        <v>0</v>
      </c>
      <c r="M92" s="778">
        <f t="shared" si="25"/>
        <v>0</v>
      </c>
      <c r="N92" s="778">
        <f t="shared" si="25"/>
        <v>0</v>
      </c>
      <c r="O92" s="778">
        <f t="shared" si="25"/>
        <v>54.030999999999999</v>
      </c>
      <c r="P92" s="778">
        <f t="shared" si="25"/>
        <v>0</v>
      </c>
      <c r="Q92" s="778">
        <f t="shared" si="25"/>
        <v>0</v>
      </c>
      <c r="R92" s="778">
        <f>R34-R49</f>
        <v>0</v>
      </c>
      <c r="S92" s="778">
        <f>S34-S49</f>
        <v>0</v>
      </c>
      <c r="T92" s="778">
        <f>T34-T49</f>
        <v>0</v>
      </c>
      <c r="U92" s="778">
        <f>U34-U49</f>
        <v>0</v>
      </c>
      <c r="V92" s="778">
        <f t="shared" si="24"/>
        <v>0</v>
      </c>
      <c r="W92" s="1094">
        <f t="shared" si="25"/>
        <v>0</v>
      </c>
    </row>
    <row r="93" spans="1:23" s="775" customFormat="1" ht="9.75" customHeight="1" x14ac:dyDescent="0.25">
      <c r="A93" s="1448" t="s">
        <v>825</v>
      </c>
      <c r="B93" s="1449"/>
      <c r="C93" s="1418" t="s">
        <v>1190</v>
      </c>
      <c r="D93" s="1419"/>
      <c r="E93" s="1419"/>
      <c r="F93" s="1419"/>
      <c r="G93" s="1419"/>
      <c r="H93" s="780" t="s">
        <v>970</v>
      </c>
      <c r="I93" s="1098">
        <f>I94-I100</f>
        <v>-52.481999999999999</v>
      </c>
      <c r="J93" s="781">
        <f t="shared" ref="J93:W93" si="26">J94-J100</f>
        <v>-19.122</v>
      </c>
      <c r="K93" s="781">
        <f t="shared" si="26"/>
        <v>-7.5469999999999997</v>
      </c>
      <c r="L93" s="781">
        <f t="shared" si="26"/>
        <v>-1.617</v>
      </c>
      <c r="M93" s="781">
        <f t="shared" si="26"/>
        <v>-1.617</v>
      </c>
      <c r="N93" s="781">
        <f t="shared" si="26"/>
        <v>-1.681</v>
      </c>
      <c r="O93" s="781">
        <f t="shared" si="26"/>
        <v>-1.6679999999999999</v>
      </c>
      <c r="P93" s="781">
        <f t="shared" si="26"/>
        <v>-1.7130000000000001</v>
      </c>
      <c r="Q93" s="781">
        <f t="shared" si="26"/>
        <v>-1.7010000000000001</v>
      </c>
      <c r="R93" s="781">
        <f>R94-R100</f>
        <v>-1.746</v>
      </c>
      <c r="S93" s="781">
        <f>S94-S100</f>
        <v>-1.746</v>
      </c>
      <c r="T93" s="781">
        <f>T94-T100</f>
        <v>-1.78</v>
      </c>
      <c r="U93" s="781">
        <f>U94-U100</f>
        <v>-1.78</v>
      </c>
      <c r="V93" s="781">
        <f t="shared" si="24"/>
        <v>-8.5370000000000008</v>
      </c>
      <c r="W93" s="782">
        <f t="shared" si="26"/>
        <v>-8.5120000000000005</v>
      </c>
    </row>
    <row r="94" spans="1:23" s="775" customFormat="1" ht="8.1" customHeight="1" x14ac:dyDescent="0.25">
      <c r="A94" s="1408" t="s">
        <v>107</v>
      </c>
      <c r="B94" s="1409"/>
      <c r="C94" s="1422" t="s">
        <v>1191</v>
      </c>
      <c r="D94" s="1423"/>
      <c r="E94" s="1423"/>
      <c r="F94" s="1423"/>
      <c r="G94" s="1423"/>
      <c r="H94" s="776" t="s">
        <v>970</v>
      </c>
      <c r="I94" s="777">
        <f>I95+I96+I97+I99</f>
        <v>6.4160000000000004</v>
      </c>
      <c r="J94" s="778">
        <f t="shared" ref="J94:W94" si="27">J95+J96+J97+J99</f>
        <v>10.294</v>
      </c>
      <c r="K94" s="778">
        <f t="shared" si="27"/>
        <v>23.143999999999998</v>
      </c>
      <c r="L94" s="778">
        <f t="shared" si="27"/>
        <v>0</v>
      </c>
      <c r="M94" s="778">
        <f t="shared" si="27"/>
        <v>0</v>
      </c>
      <c r="N94" s="778">
        <f t="shared" si="27"/>
        <v>0</v>
      </c>
      <c r="O94" s="778">
        <f t="shared" si="27"/>
        <v>0</v>
      </c>
      <c r="P94" s="778">
        <f t="shared" si="27"/>
        <v>0</v>
      </c>
      <c r="Q94" s="778">
        <f t="shared" si="27"/>
        <v>0</v>
      </c>
      <c r="R94" s="778">
        <f>R95+R96+R97+R99</f>
        <v>0</v>
      </c>
      <c r="S94" s="778">
        <f>S95+S96+S97+S99</f>
        <v>0</v>
      </c>
      <c r="T94" s="778">
        <f>T95+T96+T97+T99</f>
        <v>0</v>
      </c>
      <c r="U94" s="778">
        <f>U95+U96+U97+U99</f>
        <v>0</v>
      </c>
      <c r="V94" s="778">
        <f t="shared" si="24"/>
        <v>0</v>
      </c>
      <c r="W94" s="1094">
        <f t="shared" si="27"/>
        <v>0</v>
      </c>
    </row>
    <row r="95" spans="1:23" s="775" customFormat="1" ht="8.1" customHeight="1" x14ac:dyDescent="0.25">
      <c r="A95" s="1408" t="s">
        <v>108</v>
      </c>
      <c r="B95" s="1409"/>
      <c r="C95" s="1420" t="s">
        <v>1192</v>
      </c>
      <c r="D95" s="1421"/>
      <c r="E95" s="1421"/>
      <c r="F95" s="1421"/>
      <c r="G95" s="1421"/>
      <c r="H95" s="776" t="s">
        <v>970</v>
      </c>
      <c r="I95" s="777"/>
      <c r="J95" s="778"/>
      <c r="K95" s="778"/>
      <c r="L95" s="778">
        <f t="shared" si="23"/>
        <v>0</v>
      </c>
      <c r="M95" s="778">
        <f t="shared" si="23"/>
        <v>0</v>
      </c>
      <c r="N95" s="778">
        <f t="shared" ref="N95:O98" si="28">L95*104.2/100</f>
        <v>0</v>
      </c>
      <c r="O95" s="778">
        <f t="shared" si="28"/>
        <v>0</v>
      </c>
      <c r="P95" s="778">
        <f>N95*104.1/100</f>
        <v>0</v>
      </c>
      <c r="Q95" s="778"/>
      <c r="R95" s="778">
        <f>P95*104.1/100</f>
        <v>0</v>
      </c>
      <c r="S95" s="778"/>
      <c r="T95" s="778">
        <f>R95*104.1/100</f>
        <v>0</v>
      </c>
      <c r="U95" s="778"/>
      <c r="V95" s="778">
        <f t="shared" si="24"/>
        <v>0</v>
      </c>
      <c r="W95" s="779"/>
    </row>
    <row r="96" spans="1:23" s="775" customFormat="1" ht="8.1" customHeight="1" x14ac:dyDescent="0.25">
      <c r="A96" s="1408" t="s">
        <v>109</v>
      </c>
      <c r="B96" s="1409"/>
      <c r="C96" s="1420" t="s">
        <v>1193</v>
      </c>
      <c r="D96" s="1421"/>
      <c r="E96" s="1421"/>
      <c r="F96" s="1421"/>
      <c r="G96" s="1421"/>
      <c r="H96" s="776" t="s">
        <v>970</v>
      </c>
      <c r="I96" s="777"/>
      <c r="J96" s="778"/>
      <c r="K96" s="778"/>
      <c r="L96" s="778">
        <f t="shared" si="23"/>
        <v>0</v>
      </c>
      <c r="M96" s="778">
        <f t="shared" si="23"/>
        <v>0</v>
      </c>
      <c r="N96" s="778">
        <f t="shared" si="28"/>
        <v>0</v>
      </c>
      <c r="O96" s="778">
        <f t="shared" si="28"/>
        <v>0</v>
      </c>
      <c r="P96" s="778">
        <f>N96*104.1/100</f>
        <v>0</v>
      </c>
      <c r="Q96" s="778"/>
      <c r="R96" s="778">
        <f>P96*104.1/100</f>
        <v>0</v>
      </c>
      <c r="S96" s="778"/>
      <c r="T96" s="778">
        <f>R96*104.1/100</f>
        <v>0</v>
      </c>
      <c r="U96" s="778"/>
      <c r="V96" s="778">
        <f t="shared" si="24"/>
        <v>0</v>
      </c>
      <c r="W96" s="779"/>
    </row>
    <row r="97" spans="1:23" s="775" customFormat="1" ht="8.1" customHeight="1" x14ac:dyDescent="0.25">
      <c r="A97" s="1408" t="s">
        <v>110</v>
      </c>
      <c r="B97" s="1409"/>
      <c r="C97" s="1420" t="s">
        <v>1194</v>
      </c>
      <c r="D97" s="1421"/>
      <c r="E97" s="1421"/>
      <c r="F97" s="1421"/>
      <c r="G97" s="1421"/>
      <c r="H97" s="776" t="s">
        <v>970</v>
      </c>
      <c r="I97" s="777"/>
      <c r="J97" s="778"/>
      <c r="K97" s="778"/>
      <c r="L97" s="778">
        <f t="shared" si="23"/>
        <v>0</v>
      </c>
      <c r="M97" s="778">
        <f t="shared" si="23"/>
        <v>0</v>
      </c>
      <c r="N97" s="778">
        <f t="shared" si="28"/>
        <v>0</v>
      </c>
      <c r="O97" s="778">
        <f t="shared" si="28"/>
        <v>0</v>
      </c>
      <c r="P97" s="778">
        <f>N97*104.1/100</f>
        <v>0</v>
      </c>
      <c r="Q97" s="778"/>
      <c r="R97" s="778">
        <f>P97*104.1/100</f>
        <v>0</v>
      </c>
      <c r="S97" s="778"/>
      <c r="T97" s="778">
        <f>R97*104.1/100</f>
        <v>0</v>
      </c>
      <c r="U97" s="778"/>
      <c r="V97" s="778">
        <f t="shared" si="24"/>
        <v>0</v>
      </c>
      <c r="W97" s="779"/>
    </row>
    <row r="98" spans="1:23" s="775" customFormat="1" ht="8.1" customHeight="1" x14ac:dyDescent="0.25">
      <c r="A98" s="1408" t="s">
        <v>1195</v>
      </c>
      <c r="B98" s="1409"/>
      <c r="C98" s="1424" t="s">
        <v>1196</v>
      </c>
      <c r="D98" s="1425"/>
      <c r="E98" s="1425"/>
      <c r="F98" s="1425"/>
      <c r="G98" s="1425"/>
      <c r="H98" s="776" t="s">
        <v>970</v>
      </c>
      <c r="I98" s="777"/>
      <c r="J98" s="778"/>
      <c r="K98" s="778"/>
      <c r="L98" s="778">
        <f t="shared" si="23"/>
        <v>0</v>
      </c>
      <c r="M98" s="778">
        <f t="shared" si="23"/>
        <v>0</v>
      </c>
      <c r="N98" s="778">
        <f t="shared" si="28"/>
        <v>0</v>
      </c>
      <c r="O98" s="778">
        <f t="shared" si="28"/>
        <v>0</v>
      </c>
      <c r="P98" s="778">
        <f>N98*104.1/100</f>
        <v>0</v>
      </c>
      <c r="Q98" s="778"/>
      <c r="R98" s="778">
        <f>P98*104.1/100</f>
        <v>0</v>
      </c>
      <c r="S98" s="778"/>
      <c r="T98" s="778">
        <f>R98*104.1/100</f>
        <v>0</v>
      </c>
      <c r="U98" s="778"/>
      <c r="V98" s="778">
        <f t="shared" si="24"/>
        <v>0</v>
      </c>
      <c r="W98" s="779"/>
    </row>
    <row r="99" spans="1:23" s="775" customFormat="1" ht="8.1" customHeight="1" x14ac:dyDescent="0.25">
      <c r="A99" s="1408" t="s">
        <v>111</v>
      </c>
      <c r="B99" s="1409"/>
      <c r="C99" s="1420" t="s">
        <v>1197</v>
      </c>
      <c r="D99" s="1421"/>
      <c r="E99" s="1421"/>
      <c r="F99" s="1421"/>
      <c r="G99" s="1421"/>
      <c r="H99" s="776" t="s">
        <v>970</v>
      </c>
      <c r="I99" s="777">
        <v>6.4160000000000004</v>
      </c>
      <c r="J99" s="778">
        <v>10.294</v>
      </c>
      <c r="K99" s="778">
        <v>23.143999999999998</v>
      </c>
      <c r="L99" s="778"/>
      <c r="M99" s="778"/>
      <c r="N99" s="778"/>
      <c r="O99" s="778"/>
      <c r="P99" s="778"/>
      <c r="Q99" s="778"/>
      <c r="R99" s="778"/>
      <c r="S99" s="778"/>
      <c r="T99" s="778"/>
      <c r="U99" s="778"/>
      <c r="V99" s="778">
        <f t="shared" si="24"/>
        <v>0</v>
      </c>
      <c r="W99" s="779"/>
    </row>
    <row r="100" spans="1:23" s="775" customFormat="1" ht="8.1" customHeight="1" x14ac:dyDescent="0.25">
      <c r="A100" s="1408" t="s">
        <v>114</v>
      </c>
      <c r="B100" s="1409"/>
      <c r="C100" s="1422" t="s">
        <v>1159</v>
      </c>
      <c r="D100" s="1423"/>
      <c r="E100" s="1423"/>
      <c r="F100" s="1423"/>
      <c r="G100" s="1423"/>
      <c r="H100" s="776" t="s">
        <v>970</v>
      </c>
      <c r="I100" s="777">
        <f>I105+I103+I102+I101</f>
        <v>58.898000000000003</v>
      </c>
      <c r="J100" s="778">
        <f t="shared" ref="J100:W100" si="29">J105+J103+J102+J101</f>
        <v>29.416</v>
      </c>
      <c r="K100" s="778">
        <f t="shared" si="29"/>
        <v>30.690999999999999</v>
      </c>
      <c r="L100" s="778">
        <f t="shared" si="29"/>
        <v>1.617</v>
      </c>
      <c r="M100" s="778">
        <f t="shared" si="29"/>
        <v>1.617</v>
      </c>
      <c r="N100" s="778">
        <f t="shared" si="29"/>
        <v>1.681</v>
      </c>
      <c r="O100" s="778">
        <f t="shared" si="29"/>
        <v>1.6679999999999999</v>
      </c>
      <c r="P100" s="778">
        <f t="shared" si="29"/>
        <v>1.7130000000000001</v>
      </c>
      <c r="Q100" s="778">
        <f t="shared" si="29"/>
        <v>1.7010000000000001</v>
      </c>
      <c r="R100" s="778">
        <f>R105+R103+R102+R101</f>
        <v>1.746</v>
      </c>
      <c r="S100" s="778">
        <f>S105+S103+S102+S101</f>
        <v>1.746</v>
      </c>
      <c r="T100" s="778">
        <f>T105+T103+T102+T101</f>
        <v>1.78</v>
      </c>
      <c r="U100" s="778">
        <f>U105+U103+U102+U101</f>
        <v>1.78</v>
      </c>
      <c r="V100" s="778">
        <f t="shared" si="24"/>
        <v>8.5370000000000008</v>
      </c>
      <c r="W100" s="1094">
        <f t="shared" si="29"/>
        <v>8.5120000000000005</v>
      </c>
    </row>
    <row r="101" spans="1:23" s="775" customFormat="1" ht="8.1" customHeight="1" x14ac:dyDescent="0.25">
      <c r="A101" s="1408" t="s">
        <v>189</v>
      </c>
      <c r="B101" s="1409"/>
      <c r="C101" s="1420" t="s">
        <v>1198</v>
      </c>
      <c r="D101" s="1421"/>
      <c r="E101" s="1421"/>
      <c r="F101" s="1421"/>
      <c r="G101" s="1421"/>
      <c r="H101" s="776" t="s">
        <v>970</v>
      </c>
      <c r="I101" s="777">
        <v>1.5309999999999999</v>
      </c>
      <c r="J101" s="778">
        <v>1.6419999999999999</v>
      </c>
      <c r="K101" s="778">
        <v>2.012</v>
      </c>
      <c r="L101" s="778">
        <v>1.617</v>
      </c>
      <c r="M101" s="778">
        <v>1.617</v>
      </c>
      <c r="N101" s="778">
        <v>1.681</v>
      </c>
      <c r="O101" s="778">
        <v>1.6679999999999999</v>
      </c>
      <c r="P101" s="778">
        <v>1.7130000000000001</v>
      </c>
      <c r="Q101" s="778">
        <v>1.7010000000000001</v>
      </c>
      <c r="R101" s="778">
        <v>1.746</v>
      </c>
      <c r="S101" s="778">
        <v>1.746</v>
      </c>
      <c r="T101" s="778">
        <v>1.78</v>
      </c>
      <c r="U101" s="778">
        <v>1.78</v>
      </c>
      <c r="V101" s="778">
        <f t="shared" si="24"/>
        <v>8.5370000000000008</v>
      </c>
      <c r="W101" s="778">
        <f>M101+O101+Q101+S101+U101</f>
        <v>8.5120000000000005</v>
      </c>
    </row>
    <row r="102" spans="1:23" s="775" customFormat="1" ht="8.1" customHeight="1" x14ac:dyDescent="0.25">
      <c r="A102" s="1408" t="s">
        <v>190</v>
      </c>
      <c r="B102" s="1409"/>
      <c r="C102" s="1420" t="s">
        <v>1199</v>
      </c>
      <c r="D102" s="1421"/>
      <c r="E102" s="1421"/>
      <c r="F102" s="1421"/>
      <c r="G102" s="1421"/>
      <c r="H102" s="776" t="s">
        <v>970</v>
      </c>
      <c r="I102" s="777">
        <v>9.92</v>
      </c>
      <c r="J102" s="778">
        <v>6.2619999999999996</v>
      </c>
      <c r="K102" s="778">
        <v>1.1890000000000001</v>
      </c>
      <c r="L102" s="778"/>
      <c r="M102" s="778"/>
      <c r="N102" s="778"/>
      <c r="O102" s="778"/>
      <c r="P102" s="778"/>
      <c r="Q102" s="778"/>
      <c r="R102" s="778"/>
      <c r="S102" s="778"/>
      <c r="T102" s="778"/>
      <c r="U102" s="778"/>
      <c r="V102" s="778">
        <f t="shared" si="24"/>
        <v>0</v>
      </c>
      <c r="W102" s="779"/>
    </row>
    <row r="103" spans="1:23" s="775" customFormat="1" ht="8.1" customHeight="1" x14ac:dyDescent="0.25">
      <c r="A103" s="1408" t="s">
        <v>191</v>
      </c>
      <c r="B103" s="1409"/>
      <c r="C103" s="1420" t="s">
        <v>1200</v>
      </c>
      <c r="D103" s="1421"/>
      <c r="E103" s="1421"/>
      <c r="F103" s="1421"/>
      <c r="G103" s="1421"/>
      <c r="H103" s="776" t="s">
        <v>970</v>
      </c>
      <c r="I103" s="777">
        <f>I104</f>
        <v>0.13800000000000001</v>
      </c>
      <c r="J103" s="778">
        <f>J104</f>
        <v>0.17199999999999999</v>
      </c>
      <c r="K103" s="778">
        <f>K104</f>
        <v>0</v>
      </c>
      <c r="L103" s="778"/>
      <c r="M103" s="778"/>
      <c r="N103" s="778"/>
      <c r="O103" s="778"/>
      <c r="P103" s="778"/>
      <c r="Q103" s="778"/>
      <c r="R103" s="778"/>
      <c r="S103" s="778"/>
      <c r="T103" s="778"/>
      <c r="U103" s="778"/>
      <c r="V103" s="778">
        <f t="shared" si="24"/>
        <v>0</v>
      </c>
      <c r="W103" s="1094">
        <f>W104</f>
        <v>0</v>
      </c>
    </row>
    <row r="104" spans="1:23" s="775" customFormat="1" ht="8.1" customHeight="1" x14ac:dyDescent="0.25">
      <c r="A104" s="1408" t="s">
        <v>1201</v>
      </c>
      <c r="B104" s="1409"/>
      <c r="C104" s="1424" t="s">
        <v>1196</v>
      </c>
      <c r="D104" s="1425"/>
      <c r="E104" s="1425"/>
      <c r="F104" s="1425"/>
      <c r="G104" s="1425"/>
      <c r="H104" s="776" t="s">
        <v>970</v>
      </c>
      <c r="I104" s="777">
        <v>0.13800000000000001</v>
      </c>
      <c r="J104" s="778">
        <v>0.17199999999999999</v>
      </c>
      <c r="K104" s="778">
        <v>0</v>
      </c>
      <c r="L104" s="778"/>
      <c r="M104" s="778"/>
      <c r="N104" s="778"/>
      <c r="O104" s="778"/>
      <c r="P104" s="778"/>
      <c r="Q104" s="778"/>
      <c r="R104" s="778"/>
      <c r="S104" s="778"/>
      <c r="T104" s="778"/>
      <c r="U104" s="778"/>
      <c r="V104" s="778">
        <f t="shared" si="24"/>
        <v>0</v>
      </c>
      <c r="W104" s="779"/>
    </row>
    <row r="105" spans="1:23" s="775" customFormat="1" ht="8.1" customHeight="1" x14ac:dyDescent="0.25">
      <c r="A105" s="1408" t="s">
        <v>192</v>
      </c>
      <c r="B105" s="1409"/>
      <c r="C105" s="1420" t="s">
        <v>1202</v>
      </c>
      <c r="D105" s="1421"/>
      <c r="E105" s="1421"/>
      <c r="F105" s="1421"/>
      <c r="G105" s="1421"/>
      <c r="H105" s="776" t="s">
        <v>970</v>
      </c>
      <c r="I105" s="777">
        <f>58.898-11.589</f>
        <v>47.308999999999997</v>
      </c>
      <c r="J105" s="778">
        <f>29.416-8.076</f>
        <v>21.34</v>
      </c>
      <c r="K105" s="778">
        <v>27.49</v>
      </c>
      <c r="L105" s="778"/>
      <c r="M105" s="778"/>
      <c r="N105" s="778"/>
      <c r="O105" s="778"/>
      <c r="P105" s="778"/>
      <c r="Q105" s="778"/>
      <c r="R105" s="778"/>
      <c r="S105" s="778"/>
      <c r="T105" s="778"/>
      <c r="U105" s="778"/>
      <c r="V105" s="778">
        <f t="shared" si="24"/>
        <v>0</v>
      </c>
      <c r="W105" s="779"/>
    </row>
    <row r="106" spans="1:23" s="775" customFormat="1" ht="9.75" customHeight="1" x14ac:dyDescent="0.25">
      <c r="A106" s="1448" t="s">
        <v>1203</v>
      </c>
      <c r="B106" s="1449"/>
      <c r="C106" s="1418" t="s">
        <v>1204</v>
      </c>
      <c r="D106" s="1419"/>
      <c r="E106" s="1419"/>
      <c r="F106" s="1419"/>
      <c r="G106" s="1419"/>
      <c r="H106" s="780" t="s">
        <v>970</v>
      </c>
      <c r="I106" s="1098">
        <f>I78+I93</f>
        <v>41.454999999999998</v>
      </c>
      <c r="J106" s="781">
        <f t="shared" ref="J106:W106" si="30">J78+J93</f>
        <v>266.23200000000003</v>
      </c>
      <c r="K106" s="781">
        <f t="shared" si="30"/>
        <v>259.74</v>
      </c>
      <c r="L106" s="781">
        <f t="shared" si="30"/>
        <v>-23.3</v>
      </c>
      <c r="M106" s="781">
        <f t="shared" si="30"/>
        <v>-23.3</v>
      </c>
      <c r="N106" s="781">
        <f t="shared" si="30"/>
        <v>-48</v>
      </c>
      <c r="O106" s="781">
        <f>O78+O93</f>
        <v>33.6</v>
      </c>
      <c r="P106" s="781">
        <f t="shared" si="30"/>
        <v>-24.056999999999999</v>
      </c>
      <c r="Q106" s="781">
        <f t="shared" si="30"/>
        <v>248.245</v>
      </c>
      <c r="R106" s="781">
        <f>R78+R93</f>
        <v>0</v>
      </c>
      <c r="S106" s="781">
        <f>S78+S93</f>
        <v>15</v>
      </c>
      <c r="T106" s="781">
        <f>T78+T93</f>
        <v>0</v>
      </c>
      <c r="U106" s="781">
        <f>U78+U93</f>
        <v>23.288</v>
      </c>
      <c r="V106" s="781">
        <f t="shared" si="24"/>
        <v>-95.356999999999999</v>
      </c>
      <c r="W106" s="782">
        <f t="shared" si="30"/>
        <v>242.80199999999999</v>
      </c>
    </row>
    <row r="107" spans="1:23" s="775" customFormat="1" ht="16.5" customHeight="1" x14ac:dyDescent="0.25">
      <c r="A107" s="1408" t="s">
        <v>100</v>
      </c>
      <c r="B107" s="1409"/>
      <c r="C107" s="1410" t="s">
        <v>1205</v>
      </c>
      <c r="D107" s="1411"/>
      <c r="E107" s="1411"/>
      <c r="F107" s="1411"/>
      <c r="G107" s="1411"/>
      <c r="H107" s="776" t="s">
        <v>970</v>
      </c>
      <c r="I107" s="777"/>
      <c r="J107" s="778"/>
      <c r="K107" s="778"/>
      <c r="L107" s="778">
        <f t="shared" si="23"/>
        <v>0</v>
      </c>
      <c r="M107" s="778">
        <f t="shared" si="23"/>
        <v>0</v>
      </c>
      <c r="N107" s="778">
        <f>L107*104.2/100</f>
        <v>0</v>
      </c>
      <c r="O107" s="778"/>
      <c r="P107" s="778">
        <f>N107*104.1/100</f>
        <v>0</v>
      </c>
      <c r="Q107" s="778"/>
      <c r="R107" s="778">
        <f>P107*104.1/100</f>
        <v>0</v>
      </c>
      <c r="S107" s="778"/>
      <c r="T107" s="778">
        <f>R107*104.1/100</f>
        <v>0</v>
      </c>
      <c r="U107" s="778"/>
      <c r="V107" s="778">
        <f t="shared" si="24"/>
        <v>0</v>
      </c>
      <c r="W107" s="779"/>
    </row>
    <row r="108" spans="1:23" s="775" customFormat="1" ht="16.5" customHeight="1" x14ac:dyDescent="0.25">
      <c r="A108" s="1408" t="s">
        <v>213</v>
      </c>
      <c r="B108" s="1409"/>
      <c r="C108" s="1420" t="s">
        <v>1099</v>
      </c>
      <c r="D108" s="1421"/>
      <c r="E108" s="1421"/>
      <c r="F108" s="1421"/>
      <c r="G108" s="1421"/>
      <c r="H108" s="776" t="s">
        <v>970</v>
      </c>
      <c r="I108" s="777"/>
      <c r="J108" s="778"/>
      <c r="K108" s="778"/>
      <c r="L108" s="778">
        <f t="shared" si="23"/>
        <v>0</v>
      </c>
      <c r="M108" s="778">
        <f t="shared" si="23"/>
        <v>0</v>
      </c>
      <c r="N108" s="778">
        <f>L108*104.2/100</f>
        <v>0</v>
      </c>
      <c r="O108" s="778"/>
      <c r="P108" s="778">
        <f>N108*104.1/100</f>
        <v>0</v>
      </c>
      <c r="Q108" s="778"/>
      <c r="R108" s="778">
        <f>P108*104.1/100</f>
        <v>0</v>
      </c>
      <c r="S108" s="778"/>
      <c r="T108" s="778">
        <f>R108*104.1/100</f>
        <v>0</v>
      </c>
      <c r="U108" s="778"/>
      <c r="V108" s="778">
        <f t="shared" si="24"/>
        <v>0</v>
      </c>
      <c r="W108" s="779"/>
    </row>
    <row r="109" spans="1:23" s="775" customFormat="1" ht="16.5" customHeight="1" x14ac:dyDescent="0.25">
      <c r="A109" s="1408" t="s">
        <v>214</v>
      </c>
      <c r="B109" s="1409"/>
      <c r="C109" s="1420" t="s">
        <v>1100</v>
      </c>
      <c r="D109" s="1421"/>
      <c r="E109" s="1421"/>
      <c r="F109" s="1421"/>
      <c r="G109" s="1421"/>
      <c r="H109" s="776" t="s">
        <v>970</v>
      </c>
      <c r="I109" s="798"/>
      <c r="J109" s="778"/>
      <c r="K109" s="778"/>
      <c r="L109" s="778">
        <f t="shared" si="23"/>
        <v>0</v>
      </c>
      <c r="M109" s="778">
        <f t="shared" si="23"/>
        <v>0</v>
      </c>
      <c r="N109" s="778">
        <f>L109*104.2/100</f>
        <v>0</v>
      </c>
      <c r="O109" s="778"/>
      <c r="P109" s="778">
        <f>N109*104.1/100</f>
        <v>0</v>
      </c>
      <c r="Q109" s="778"/>
      <c r="R109" s="778">
        <f>P109*104.1/100</f>
        <v>0</v>
      </c>
      <c r="S109" s="778"/>
      <c r="T109" s="778">
        <f>R109*104.1/100</f>
        <v>0</v>
      </c>
      <c r="U109" s="778"/>
      <c r="V109" s="778">
        <f t="shared" si="24"/>
        <v>0</v>
      </c>
      <c r="W109" s="799"/>
    </row>
    <row r="110" spans="1:23" s="775" customFormat="1" ht="16.5" customHeight="1" x14ac:dyDescent="0.25">
      <c r="A110" s="1408" t="s">
        <v>215</v>
      </c>
      <c r="B110" s="1409"/>
      <c r="C110" s="1420" t="s">
        <v>1101</v>
      </c>
      <c r="D110" s="1421"/>
      <c r="E110" s="1421"/>
      <c r="F110" s="1421"/>
      <c r="G110" s="1421"/>
      <c r="H110" s="776" t="s">
        <v>970</v>
      </c>
      <c r="I110" s="798"/>
      <c r="J110" s="778"/>
      <c r="K110" s="778"/>
      <c r="L110" s="778">
        <f t="shared" si="23"/>
        <v>0</v>
      </c>
      <c r="M110" s="778">
        <f t="shared" si="23"/>
        <v>0</v>
      </c>
      <c r="N110" s="778">
        <f>L110*104.2/100</f>
        <v>0</v>
      </c>
      <c r="O110" s="778"/>
      <c r="P110" s="778">
        <f>N110*104.1/100</f>
        <v>0</v>
      </c>
      <c r="Q110" s="778"/>
      <c r="R110" s="778">
        <f>P110*104.1/100</f>
        <v>0</v>
      </c>
      <c r="S110" s="778"/>
      <c r="T110" s="778">
        <f>R110*104.1/100</f>
        <v>0</v>
      </c>
      <c r="U110" s="778"/>
      <c r="V110" s="778">
        <f t="shared" si="24"/>
        <v>0</v>
      </c>
      <c r="W110" s="799"/>
    </row>
    <row r="111" spans="1:23" s="775" customFormat="1" ht="8.1" customHeight="1" x14ac:dyDescent="0.25">
      <c r="A111" s="1408" t="s">
        <v>101</v>
      </c>
      <c r="B111" s="1409"/>
      <c r="C111" s="1410" t="s">
        <v>1102</v>
      </c>
      <c r="D111" s="1411"/>
      <c r="E111" s="1411"/>
      <c r="F111" s="1411"/>
      <c r="G111" s="1411"/>
      <c r="H111" s="776" t="s">
        <v>970</v>
      </c>
      <c r="I111" s="798"/>
      <c r="J111" s="778"/>
      <c r="K111" s="778"/>
      <c r="L111" s="778">
        <f t="shared" si="23"/>
        <v>0</v>
      </c>
      <c r="M111" s="778">
        <f t="shared" si="23"/>
        <v>0</v>
      </c>
      <c r="N111" s="778">
        <f>L111*104.2/100</f>
        <v>0</v>
      </c>
      <c r="O111" s="778"/>
      <c r="P111" s="778">
        <f>N111*104.1/100</f>
        <v>0</v>
      </c>
      <c r="Q111" s="778"/>
      <c r="R111" s="778">
        <f>P111*104.1/100</f>
        <v>0</v>
      </c>
      <c r="S111" s="778"/>
      <c r="T111" s="778">
        <f>R111*104.1/100</f>
        <v>0</v>
      </c>
      <c r="U111" s="778"/>
      <c r="V111" s="778">
        <f t="shared" si="24"/>
        <v>0</v>
      </c>
      <c r="W111" s="799"/>
    </row>
    <row r="112" spans="1:23" s="775" customFormat="1" ht="8.1" customHeight="1" x14ac:dyDescent="0.25">
      <c r="A112" s="1408" t="s">
        <v>116</v>
      </c>
      <c r="B112" s="1409"/>
      <c r="C112" s="1410" t="s">
        <v>1103</v>
      </c>
      <c r="D112" s="1411"/>
      <c r="E112" s="1411"/>
      <c r="F112" s="1411"/>
      <c r="G112" s="1411"/>
      <c r="H112" s="776" t="s">
        <v>970</v>
      </c>
      <c r="I112" s="777">
        <f>I84+I93</f>
        <v>-31.584</v>
      </c>
      <c r="J112" s="778">
        <f t="shared" ref="J112:W112" si="31">J84+J93</f>
        <v>206.34700000000001</v>
      </c>
      <c r="K112" s="778">
        <f t="shared" si="31"/>
        <v>199.285</v>
      </c>
      <c r="L112" s="778">
        <f t="shared" si="31"/>
        <v>-23.3</v>
      </c>
      <c r="M112" s="778">
        <f t="shared" si="31"/>
        <v>-23.3</v>
      </c>
      <c r="N112" s="778">
        <f t="shared" si="31"/>
        <v>-48</v>
      </c>
      <c r="O112" s="778">
        <f t="shared" si="31"/>
        <v>-20.431000000000001</v>
      </c>
      <c r="P112" s="778">
        <f t="shared" si="31"/>
        <v>-24.056999999999999</v>
      </c>
      <c r="Q112" s="778">
        <f t="shared" si="31"/>
        <v>248.245</v>
      </c>
      <c r="R112" s="778">
        <f>R84+R93</f>
        <v>0</v>
      </c>
      <c r="S112" s="778">
        <f>S84+S93</f>
        <v>15</v>
      </c>
      <c r="T112" s="778">
        <f>T84+T93</f>
        <v>0</v>
      </c>
      <c r="U112" s="778">
        <f>U84+U93</f>
        <v>23.288</v>
      </c>
      <c r="V112" s="778">
        <f t="shared" si="24"/>
        <v>-95.356999999999999</v>
      </c>
      <c r="W112" s="1094">
        <f t="shared" si="31"/>
        <v>242.80199999999999</v>
      </c>
    </row>
    <row r="113" spans="1:23" s="775" customFormat="1" ht="8.1" customHeight="1" x14ac:dyDescent="0.25">
      <c r="A113" s="1408" t="s">
        <v>117</v>
      </c>
      <c r="B113" s="1409"/>
      <c r="C113" s="1410" t="s">
        <v>1104</v>
      </c>
      <c r="D113" s="1411"/>
      <c r="E113" s="1411"/>
      <c r="F113" s="1411"/>
      <c r="G113" s="1411"/>
      <c r="H113" s="776" t="s">
        <v>970</v>
      </c>
      <c r="I113" s="777"/>
      <c r="J113" s="778"/>
      <c r="K113" s="778"/>
      <c r="L113" s="778">
        <f t="shared" si="23"/>
        <v>0</v>
      </c>
      <c r="M113" s="778">
        <f t="shared" si="23"/>
        <v>0</v>
      </c>
      <c r="N113" s="778">
        <f t="shared" ref="N113:N119" si="32">L113*104.2/100</f>
        <v>0</v>
      </c>
      <c r="O113" s="778"/>
      <c r="P113" s="778">
        <f t="shared" ref="P113:P119" si="33">N113*104.1/100</f>
        <v>0</v>
      </c>
      <c r="Q113" s="778"/>
      <c r="R113" s="778">
        <f t="shared" ref="R113:R119" si="34">P113*104.1/100</f>
        <v>0</v>
      </c>
      <c r="S113" s="778"/>
      <c r="T113" s="778">
        <f t="shared" ref="T113:T119" si="35">R113*104.1/100</f>
        <v>0</v>
      </c>
      <c r="U113" s="778"/>
      <c r="V113" s="778">
        <f t="shared" si="24"/>
        <v>0</v>
      </c>
      <c r="W113" s="779"/>
    </row>
    <row r="114" spans="1:23" s="775" customFormat="1" ht="8.1" customHeight="1" x14ac:dyDescent="0.25">
      <c r="A114" s="1408" t="s">
        <v>523</v>
      </c>
      <c r="B114" s="1409"/>
      <c r="C114" s="1410" t="s">
        <v>1105</v>
      </c>
      <c r="D114" s="1411"/>
      <c r="E114" s="1411"/>
      <c r="F114" s="1411"/>
      <c r="G114" s="1411"/>
      <c r="H114" s="776" t="s">
        <v>970</v>
      </c>
      <c r="I114" s="777"/>
      <c r="J114" s="778"/>
      <c r="K114" s="778"/>
      <c r="L114" s="778">
        <f t="shared" si="23"/>
        <v>0</v>
      </c>
      <c r="M114" s="778">
        <f t="shared" si="23"/>
        <v>0</v>
      </c>
      <c r="N114" s="778">
        <f t="shared" si="32"/>
        <v>0</v>
      </c>
      <c r="O114" s="778"/>
      <c r="P114" s="778">
        <f t="shared" si="33"/>
        <v>0</v>
      </c>
      <c r="Q114" s="778"/>
      <c r="R114" s="778">
        <f t="shared" si="34"/>
        <v>0</v>
      </c>
      <c r="S114" s="778"/>
      <c r="T114" s="778">
        <f t="shared" si="35"/>
        <v>0</v>
      </c>
      <c r="U114" s="778"/>
      <c r="V114" s="778">
        <f t="shared" si="24"/>
        <v>0</v>
      </c>
      <c r="W114" s="779"/>
    </row>
    <row r="115" spans="1:23" s="775" customFormat="1" ht="8.1" customHeight="1" x14ac:dyDescent="0.25">
      <c r="A115" s="1408" t="s">
        <v>812</v>
      </c>
      <c r="B115" s="1409"/>
      <c r="C115" s="1410" t="s">
        <v>1106</v>
      </c>
      <c r="D115" s="1411"/>
      <c r="E115" s="1411"/>
      <c r="F115" s="1411"/>
      <c r="G115" s="1411"/>
      <c r="H115" s="776" t="s">
        <v>970</v>
      </c>
      <c r="I115" s="777"/>
      <c r="J115" s="778"/>
      <c r="K115" s="778"/>
      <c r="L115" s="778">
        <f t="shared" si="23"/>
        <v>0</v>
      </c>
      <c r="M115" s="778">
        <f t="shared" si="23"/>
        <v>0</v>
      </c>
      <c r="N115" s="778">
        <f t="shared" si="32"/>
        <v>0</v>
      </c>
      <c r="O115" s="778"/>
      <c r="P115" s="778">
        <f t="shared" si="33"/>
        <v>0</v>
      </c>
      <c r="Q115" s="778"/>
      <c r="R115" s="778">
        <f t="shared" si="34"/>
        <v>0</v>
      </c>
      <c r="S115" s="778"/>
      <c r="T115" s="778">
        <f t="shared" si="35"/>
        <v>0</v>
      </c>
      <c r="U115" s="778"/>
      <c r="V115" s="778">
        <f t="shared" si="24"/>
        <v>0</v>
      </c>
      <c r="W115" s="779"/>
    </row>
    <row r="116" spans="1:23" s="775" customFormat="1" ht="8.1" customHeight="1" x14ac:dyDescent="0.25">
      <c r="A116" s="1408" t="s">
        <v>1206</v>
      </c>
      <c r="B116" s="1409"/>
      <c r="C116" s="1410" t="s">
        <v>1108</v>
      </c>
      <c r="D116" s="1411"/>
      <c r="E116" s="1411"/>
      <c r="F116" s="1411"/>
      <c r="G116" s="1411"/>
      <c r="H116" s="776" t="s">
        <v>970</v>
      </c>
      <c r="I116" s="777"/>
      <c r="J116" s="778"/>
      <c r="K116" s="778"/>
      <c r="L116" s="778">
        <f t="shared" si="23"/>
        <v>0</v>
      </c>
      <c r="M116" s="778">
        <f t="shared" si="23"/>
        <v>0</v>
      </c>
      <c r="N116" s="778">
        <f t="shared" si="32"/>
        <v>0</v>
      </c>
      <c r="O116" s="778"/>
      <c r="P116" s="778">
        <f t="shared" si="33"/>
        <v>0</v>
      </c>
      <c r="Q116" s="778"/>
      <c r="R116" s="778">
        <f t="shared" si="34"/>
        <v>0</v>
      </c>
      <c r="S116" s="778"/>
      <c r="T116" s="778">
        <f t="shared" si="35"/>
        <v>0</v>
      </c>
      <c r="U116" s="778"/>
      <c r="V116" s="778">
        <f t="shared" si="24"/>
        <v>0</v>
      </c>
      <c r="W116" s="779"/>
    </row>
    <row r="117" spans="1:23" s="775" customFormat="1" ht="16.5" customHeight="1" x14ac:dyDescent="0.25">
      <c r="A117" s="1408" t="s">
        <v>1207</v>
      </c>
      <c r="B117" s="1409"/>
      <c r="C117" s="1410" t="s">
        <v>1110</v>
      </c>
      <c r="D117" s="1411"/>
      <c r="E117" s="1411"/>
      <c r="F117" s="1411"/>
      <c r="G117" s="1411"/>
      <c r="H117" s="776" t="s">
        <v>970</v>
      </c>
      <c r="I117" s="777"/>
      <c r="J117" s="778"/>
      <c r="K117" s="778"/>
      <c r="L117" s="778">
        <f t="shared" si="23"/>
        <v>0</v>
      </c>
      <c r="M117" s="778">
        <f t="shared" si="23"/>
        <v>0</v>
      </c>
      <c r="N117" s="778">
        <f t="shared" si="32"/>
        <v>0</v>
      </c>
      <c r="O117" s="778"/>
      <c r="P117" s="778">
        <f t="shared" si="33"/>
        <v>0</v>
      </c>
      <c r="Q117" s="778"/>
      <c r="R117" s="778">
        <f t="shared" si="34"/>
        <v>0</v>
      </c>
      <c r="S117" s="778"/>
      <c r="T117" s="778">
        <f t="shared" si="35"/>
        <v>0</v>
      </c>
      <c r="U117" s="778"/>
      <c r="V117" s="778">
        <f t="shared" si="24"/>
        <v>0</v>
      </c>
      <c r="W117" s="779"/>
    </row>
    <row r="118" spans="1:23" s="775" customFormat="1" ht="8.1" customHeight="1" x14ac:dyDescent="0.25">
      <c r="A118" s="1408" t="s">
        <v>798</v>
      </c>
      <c r="B118" s="1409"/>
      <c r="C118" s="1420" t="s">
        <v>1112</v>
      </c>
      <c r="D118" s="1421"/>
      <c r="E118" s="1421"/>
      <c r="F118" s="1421"/>
      <c r="G118" s="1421"/>
      <c r="H118" s="776" t="s">
        <v>970</v>
      </c>
      <c r="I118" s="777"/>
      <c r="J118" s="778"/>
      <c r="K118" s="778"/>
      <c r="L118" s="778">
        <f t="shared" si="23"/>
        <v>0</v>
      </c>
      <c r="M118" s="778">
        <f t="shared" si="23"/>
        <v>0</v>
      </c>
      <c r="N118" s="778">
        <f t="shared" si="32"/>
        <v>0</v>
      </c>
      <c r="O118" s="778"/>
      <c r="P118" s="778">
        <f t="shared" si="33"/>
        <v>0</v>
      </c>
      <c r="Q118" s="778"/>
      <c r="R118" s="778">
        <f t="shared" si="34"/>
        <v>0</v>
      </c>
      <c r="S118" s="778"/>
      <c r="T118" s="778">
        <f t="shared" si="35"/>
        <v>0</v>
      </c>
      <c r="U118" s="778"/>
      <c r="V118" s="778">
        <f t="shared" si="24"/>
        <v>0</v>
      </c>
      <c r="W118" s="779"/>
    </row>
    <row r="119" spans="1:23" s="775" customFormat="1" ht="8.1" customHeight="1" x14ac:dyDescent="0.25">
      <c r="A119" s="1408" t="s">
        <v>799</v>
      </c>
      <c r="B119" s="1409"/>
      <c r="C119" s="1420" t="s">
        <v>988</v>
      </c>
      <c r="D119" s="1421"/>
      <c r="E119" s="1421"/>
      <c r="F119" s="1421"/>
      <c r="G119" s="1421"/>
      <c r="H119" s="776" t="s">
        <v>970</v>
      </c>
      <c r="I119" s="777"/>
      <c r="J119" s="778"/>
      <c r="K119" s="778"/>
      <c r="L119" s="778">
        <f t="shared" si="23"/>
        <v>0</v>
      </c>
      <c r="M119" s="778">
        <f t="shared" si="23"/>
        <v>0</v>
      </c>
      <c r="N119" s="778">
        <f t="shared" si="32"/>
        <v>0</v>
      </c>
      <c r="O119" s="778"/>
      <c r="P119" s="778">
        <f t="shared" si="33"/>
        <v>0</v>
      </c>
      <c r="Q119" s="778"/>
      <c r="R119" s="778">
        <f t="shared" si="34"/>
        <v>0</v>
      </c>
      <c r="S119" s="778"/>
      <c r="T119" s="778">
        <f t="shared" si="35"/>
        <v>0</v>
      </c>
      <c r="U119" s="778"/>
      <c r="V119" s="778">
        <f t="shared" si="24"/>
        <v>0</v>
      </c>
      <c r="W119" s="779"/>
    </row>
    <row r="120" spans="1:23" s="775" customFormat="1" ht="8.1" customHeight="1" x14ac:dyDescent="0.25">
      <c r="A120" s="1408" t="s">
        <v>1208</v>
      </c>
      <c r="B120" s="1409"/>
      <c r="C120" s="1410" t="s">
        <v>1115</v>
      </c>
      <c r="D120" s="1411"/>
      <c r="E120" s="1411"/>
      <c r="F120" s="1411"/>
      <c r="G120" s="1411"/>
      <c r="H120" s="776" t="s">
        <v>970</v>
      </c>
      <c r="I120" s="777">
        <f>I92</f>
        <v>73.039000000000001</v>
      </c>
      <c r="J120" s="778">
        <f t="shared" ref="J120:Q120" si="36">J92</f>
        <v>59.884999999999998</v>
      </c>
      <c r="K120" s="778">
        <f t="shared" si="36"/>
        <v>60.454999999999998</v>
      </c>
      <c r="L120" s="778">
        <f>L92</f>
        <v>0</v>
      </c>
      <c r="M120" s="778">
        <f t="shared" si="36"/>
        <v>0</v>
      </c>
      <c r="N120" s="778">
        <f t="shared" si="36"/>
        <v>0</v>
      </c>
      <c r="O120" s="778">
        <f t="shared" si="36"/>
        <v>54.030999999999999</v>
      </c>
      <c r="P120" s="778">
        <f>P92</f>
        <v>0</v>
      </c>
      <c r="Q120" s="778">
        <f t="shared" si="36"/>
        <v>0</v>
      </c>
      <c r="R120" s="778">
        <f>R92</f>
        <v>0</v>
      </c>
      <c r="S120" s="778">
        <f>S92</f>
        <v>0</v>
      </c>
      <c r="T120" s="778">
        <f>T92</f>
        <v>0</v>
      </c>
      <c r="U120" s="778">
        <f>U92</f>
        <v>0</v>
      </c>
      <c r="V120" s="778">
        <f t="shared" si="24"/>
        <v>0</v>
      </c>
      <c r="W120" s="1094">
        <f>W92</f>
        <v>0</v>
      </c>
    </row>
    <row r="121" spans="1:23" s="775" customFormat="1" ht="9" customHeight="1" x14ac:dyDescent="0.25">
      <c r="A121" s="1450" t="s">
        <v>1209</v>
      </c>
      <c r="B121" s="1451"/>
      <c r="C121" s="1418" t="s">
        <v>1210</v>
      </c>
      <c r="D121" s="1419"/>
      <c r="E121" s="1419"/>
      <c r="F121" s="1419"/>
      <c r="G121" s="1419"/>
      <c r="H121" s="780" t="s">
        <v>970</v>
      </c>
      <c r="I121" s="781">
        <f>I127+I135</f>
        <v>14.608000000000001</v>
      </c>
      <c r="J121" s="781">
        <f>J127+J135</f>
        <v>53.246000000000002</v>
      </c>
      <c r="K121" s="781">
        <f t="shared" ref="K121:U121" si="37">K127+K135</f>
        <v>51.948</v>
      </c>
      <c r="L121" s="781">
        <f t="shared" si="37"/>
        <v>0</v>
      </c>
      <c r="M121" s="781">
        <f t="shared" si="37"/>
        <v>0</v>
      </c>
      <c r="N121" s="781">
        <f t="shared" si="37"/>
        <v>0</v>
      </c>
      <c r="O121" s="781">
        <f t="shared" si="37"/>
        <v>6.72</v>
      </c>
      <c r="P121" s="781">
        <f t="shared" si="37"/>
        <v>0</v>
      </c>
      <c r="Q121" s="781">
        <f t="shared" si="37"/>
        <v>0</v>
      </c>
      <c r="R121" s="781">
        <f t="shared" si="37"/>
        <v>0</v>
      </c>
      <c r="S121" s="781">
        <f t="shared" si="37"/>
        <v>3</v>
      </c>
      <c r="T121" s="781">
        <f t="shared" si="37"/>
        <v>0</v>
      </c>
      <c r="U121" s="781">
        <f t="shared" si="37"/>
        <v>4.6580000000000004</v>
      </c>
      <c r="V121" s="781">
        <f t="shared" si="24"/>
        <v>0</v>
      </c>
      <c r="W121" s="782">
        <f>W127+W130</f>
        <v>3.5720000000000001</v>
      </c>
    </row>
    <row r="122" spans="1:23" s="775" customFormat="1" ht="8.1" customHeight="1" x14ac:dyDescent="0.25">
      <c r="A122" s="1408" t="s">
        <v>103</v>
      </c>
      <c r="B122" s="1409"/>
      <c r="C122" s="1410" t="s">
        <v>1098</v>
      </c>
      <c r="D122" s="1411"/>
      <c r="E122" s="1411"/>
      <c r="F122" s="1411"/>
      <c r="G122" s="1411"/>
      <c r="H122" s="776" t="s">
        <v>970</v>
      </c>
      <c r="I122" s="777"/>
      <c r="J122" s="778"/>
      <c r="K122" s="778"/>
      <c r="L122" s="778">
        <f t="shared" si="23"/>
        <v>0</v>
      </c>
      <c r="M122" s="778">
        <f t="shared" si="23"/>
        <v>0</v>
      </c>
      <c r="N122" s="778">
        <f>L122*104.2/100</f>
        <v>0</v>
      </c>
      <c r="O122" s="778"/>
      <c r="P122" s="778">
        <f t="shared" ref="P122:R126" si="38">N122*104.1/100</f>
        <v>0</v>
      </c>
      <c r="Q122" s="778">
        <f t="shared" si="38"/>
        <v>0</v>
      </c>
      <c r="R122" s="778">
        <f t="shared" si="38"/>
        <v>0</v>
      </c>
      <c r="S122" s="778"/>
      <c r="T122" s="778">
        <f>R122*104.1/100</f>
        <v>0</v>
      </c>
      <c r="U122" s="778"/>
      <c r="V122" s="778">
        <f t="shared" si="24"/>
        <v>0</v>
      </c>
      <c r="W122" s="779"/>
    </row>
    <row r="123" spans="1:23" s="775" customFormat="1" ht="16.5" customHeight="1" x14ac:dyDescent="0.25">
      <c r="A123" s="1408" t="s">
        <v>251</v>
      </c>
      <c r="B123" s="1409"/>
      <c r="C123" s="1420" t="s">
        <v>1099</v>
      </c>
      <c r="D123" s="1421"/>
      <c r="E123" s="1421"/>
      <c r="F123" s="1421"/>
      <c r="G123" s="1421"/>
      <c r="H123" s="776" t="s">
        <v>970</v>
      </c>
      <c r="I123" s="777"/>
      <c r="J123" s="778"/>
      <c r="K123" s="778"/>
      <c r="L123" s="778">
        <f t="shared" si="23"/>
        <v>0</v>
      </c>
      <c r="M123" s="778">
        <f t="shared" si="23"/>
        <v>0</v>
      </c>
      <c r="N123" s="778">
        <f>L123*104.2/100</f>
        <v>0</v>
      </c>
      <c r="O123" s="778"/>
      <c r="P123" s="778">
        <f t="shared" si="38"/>
        <v>0</v>
      </c>
      <c r="Q123" s="778">
        <f t="shared" si="38"/>
        <v>0</v>
      </c>
      <c r="R123" s="778">
        <f t="shared" si="38"/>
        <v>0</v>
      </c>
      <c r="S123" s="778"/>
      <c r="T123" s="778">
        <f>R123*104.1/100</f>
        <v>0</v>
      </c>
      <c r="U123" s="778"/>
      <c r="V123" s="778">
        <f t="shared" si="24"/>
        <v>0</v>
      </c>
      <c r="W123" s="779"/>
    </row>
    <row r="124" spans="1:23" s="775" customFormat="1" ht="16.5" customHeight="1" x14ac:dyDescent="0.25">
      <c r="A124" s="1408" t="s">
        <v>252</v>
      </c>
      <c r="B124" s="1409"/>
      <c r="C124" s="1420" t="s">
        <v>1100</v>
      </c>
      <c r="D124" s="1421"/>
      <c r="E124" s="1421"/>
      <c r="F124" s="1421"/>
      <c r="G124" s="1421"/>
      <c r="H124" s="776" t="s">
        <v>970</v>
      </c>
      <c r="I124" s="777"/>
      <c r="J124" s="778"/>
      <c r="K124" s="778"/>
      <c r="L124" s="778">
        <f t="shared" si="23"/>
        <v>0</v>
      </c>
      <c r="M124" s="778">
        <f t="shared" si="23"/>
        <v>0</v>
      </c>
      <c r="N124" s="778">
        <f>L124*104.2/100</f>
        <v>0</v>
      </c>
      <c r="O124" s="778"/>
      <c r="P124" s="778">
        <f t="shared" si="38"/>
        <v>0</v>
      </c>
      <c r="Q124" s="778">
        <f t="shared" si="38"/>
        <v>0</v>
      </c>
      <c r="R124" s="778">
        <f t="shared" si="38"/>
        <v>0</v>
      </c>
      <c r="S124" s="778"/>
      <c r="T124" s="778">
        <f>R124*104.1/100</f>
        <v>0</v>
      </c>
      <c r="U124" s="778"/>
      <c r="V124" s="778">
        <f t="shared" si="24"/>
        <v>0</v>
      </c>
      <c r="W124" s="779"/>
    </row>
    <row r="125" spans="1:23" s="775" customFormat="1" ht="16.5" customHeight="1" x14ac:dyDescent="0.25">
      <c r="A125" s="1408" t="s">
        <v>253</v>
      </c>
      <c r="B125" s="1409"/>
      <c r="C125" s="1420" t="s">
        <v>1101</v>
      </c>
      <c r="D125" s="1421"/>
      <c r="E125" s="1421"/>
      <c r="F125" s="1421"/>
      <c r="G125" s="1421"/>
      <c r="H125" s="776" t="s">
        <v>970</v>
      </c>
      <c r="I125" s="777"/>
      <c r="J125" s="778"/>
      <c r="K125" s="778"/>
      <c r="L125" s="778">
        <f t="shared" si="23"/>
        <v>0</v>
      </c>
      <c r="M125" s="778">
        <f t="shared" si="23"/>
        <v>0</v>
      </c>
      <c r="N125" s="778">
        <f>L125*104.2/100</f>
        <v>0</v>
      </c>
      <c r="O125" s="778"/>
      <c r="P125" s="778">
        <f t="shared" si="38"/>
        <v>0</v>
      </c>
      <c r="Q125" s="778">
        <f t="shared" si="38"/>
        <v>0</v>
      </c>
      <c r="R125" s="778">
        <f t="shared" si="38"/>
        <v>0</v>
      </c>
      <c r="S125" s="778"/>
      <c r="T125" s="778">
        <f>R125*104.1/100</f>
        <v>0</v>
      </c>
      <c r="U125" s="778"/>
      <c r="V125" s="778">
        <f t="shared" si="24"/>
        <v>0</v>
      </c>
      <c r="W125" s="779"/>
    </row>
    <row r="126" spans="1:23" s="775" customFormat="1" ht="8.1" customHeight="1" x14ac:dyDescent="0.25">
      <c r="A126" s="1408" t="s">
        <v>104</v>
      </c>
      <c r="B126" s="1409"/>
      <c r="C126" s="1410" t="s">
        <v>1211</v>
      </c>
      <c r="D126" s="1411"/>
      <c r="E126" s="1411"/>
      <c r="F126" s="1411"/>
      <c r="G126" s="1411"/>
      <c r="H126" s="776" t="s">
        <v>970</v>
      </c>
      <c r="I126" s="777"/>
      <c r="J126" s="778"/>
      <c r="K126" s="778"/>
      <c r="L126" s="778">
        <f t="shared" si="23"/>
        <v>0</v>
      </c>
      <c r="M126" s="778">
        <f t="shared" si="23"/>
        <v>0</v>
      </c>
      <c r="N126" s="778">
        <f>L126*104.2/100</f>
        <v>0</v>
      </c>
      <c r="O126" s="778"/>
      <c r="P126" s="778">
        <f t="shared" si="38"/>
        <v>0</v>
      </c>
      <c r="Q126" s="778">
        <f t="shared" si="38"/>
        <v>0</v>
      </c>
      <c r="R126" s="778">
        <f t="shared" si="38"/>
        <v>0</v>
      </c>
      <c r="S126" s="778"/>
      <c r="T126" s="778">
        <f>R126*104.1/100</f>
        <v>0</v>
      </c>
      <c r="U126" s="778"/>
      <c r="V126" s="778">
        <f t="shared" si="24"/>
        <v>0</v>
      </c>
      <c r="W126" s="779"/>
    </row>
    <row r="127" spans="1:23" s="775" customFormat="1" ht="8.1" customHeight="1" x14ac:dyDescent="0.25">
      <c r="A127" s="1408" t="s">
        <v>105</v>
      </c>
      <c r="B127" s="1409"/>
      <c r="C127" s="1410" t="s">
        <v>1212</v>
      </c>
      <c r="D127" s="1411"/>
      <c r="E127" s="1411"/>
      <c r="F127" s="1411"/>
      <c r="G127" s="1411"/>
      <c r="H127" s="776" t="s">
        <v>970</v>
      </c>
      <c r="I127" s="778"/>
      <c r="J127" s="778">
        <f>J112*0.2</f>
        <v>41.268999999999998</v>
      </c>
      <c r="K127" s="778">
        <f>K112*0.2</f>
        <v>39.856999999999999</v>
      </c>
      <c r="L127" s="778"/>
      <c r="M127" s="778"/>
      <c r="N127" s="778"/>
      <c r="O127" s="778">
        <f>O112*0.2</f>
        <v>-4.0860000000000003</v>
      </c>
      <c r="P127" s="778"/>
      <c r="Q127" s="778"/>
      <c r="R127" s="778">
        <f>R112*0.2</f>
        <v>0</v>
      </c>
      <c r="S127" s="778">
        <f>S112*0.2</f>
        <v>3</v>
      </c>
      <c r="T127" s="778">
        <f>T112*0.2</f>
        <v>0</v>
      </c>
      <c r="U127" s="778">
        <f>U112*0.2</f>
        <v>4.6580000000000004</v>
      </c>
      <c r="V127" s="778">
        <f t="shared" si="24"/>
        <v>0</v>
      </c>
      <c r="W127" s="778">
        <f>M127+O127+Q127+S127+U127</f>
        <v>3.5720000000000001</v>
      </c>
    </row>
    <row r="128" spans="1:23" s="775" customFormat="1" ht="8.1" customHeight="1" x14ac:dyDescent="0.25">
      <c r="A128" s="1408" t="s">
        <v>106</v>
      </c>
      <c r="B128" s="1409"/>
      <c r="C128" s="1410" t="s">
        <v>1213</v>
      </c>
      <c r="D128" s="1411"/>
      <c r="E128" s="1411"/>
      <c r="F128" s="1411"/>
      <c r="G128" s="1411"/>
      <c r="H128" s="776" t="s">
        <v>970</v>
      </c>
      <c r="I128" s="777"/>
      <c r="J128" s="778"/>
      <c r="K128" s="778"/>
      <c r="L128" s="778">
        <f t="shared" si="23"/>
        <v>0</v>
      </c>
      <c r="M128" s="778"/>
      <c r="N128" s="778">
        <f t="shared" ref="N128:N134" si="39">L128*104.2/100</f>
        <v>0</v>
      </c>
      <c r="O128" s="778"/>
      <c r="P128" s="778">
        <f t="shared" ref="P128:R134" si="40">N128*104.1/100</f>
        <v>0</v>
      </c>
      <c r="Q128" s="778">
        <f t="shared" si="40"/>
        <v>0</v>
      </c>
      <c r="R128" s="778">
        <f t="shared" si="40"/>
        <v>0</v>
      </c>
      <c r="S128" s="778"/>
      <c r="T128" s="778">
        <f t="shared" ref="T128:T134" si="41">R128*104.1/100</f>
        <v>0</v>
      </c>
      <c r="U128" s="778"/>
      <c r="V128" s="778">
        <f t="shared" si="24"/>
        <v>0</v>
      </c>
      <c r="W128" s="779"/>
    </row>
    <row r="129" spans="1:23" s="775" customFormat="1" ht="8.1" customHeight="1" x14ac:dyDescent="0.25">
      <c r="A129" s="1408" t="s">
        <v>1214</v>
      </c>
      <c r="B129" s="1409"/>
      <c r="C129" s="1410" t="s">
        <v>1215</v>
      </c>
      <c r="D129" s="1411"/>
      <c r="E129" s="1411"/>
      <c r="F129" s="1411"/>
      <c r="G129" s="1411"/>
      <c r="H129" s="776" t="s">
        <v>970</v>
      </c>
      <c r="I129" s="777"/>
      <c r="J129" s="778"/>
      <c r="K129" s="778"/>
      <c r="L129" s="778">
        <f t="shared" si="23"/>
        <v>0</v>
      </c>
      <c r="M129" s="778">
        <f t="shared" si="23"/>
        <v>0</v>
      </c>
      <c r="N129" s="778">
        <f t="shared" si="39"/>
        <v>0</v>
      </c>
      <c r="O129" s="778"/>
      <c r="P129" s="778">
        <f t="shared" si="40"/>
        <v>0</v>
      </c>
      <c r="Q129" s="778">
        <f t="shared" si="40"/>
        <v>0</v>
      </c>
      <c r="R129" s="778">
        <f t="shared" si="40"/>
        <v>0</v>
      </c>
      <c r="S129" s="778"/>
      <c r="T129" s="778">
        <f t="shared" si="41"/>
        <v>0</v>
      </c>
      <c r="U129" s="778"/>
      <c r="V129" s="778">
        <f t="shared" si="24"/>
        <v>0</v>
      </c>
      <c r="W129" s="779"/>
    </row>
    <row r="130" spans="1:23" s="775" customFormat="1" ht="8.1" customHeight="1" x14ac:dyDescent="0.25">
      <c r="A130" s="1408" t="s">
        <v>1216</v>
      </c>
      <c r="B130" s="1409"/>
      <c r="C130" s="1410" t="s">
        <v>1217</v>
      </c>
      <c r="D130" s="1411"/>
      <c r="E130" s="1411"/>
      <c r="F130" s="1411"/>
      <c r="G130" s="1411"/>
      <c r="H130" s="776" t="s">
        <v>970</v>
      </c>
      <c r="I130" s="777"/>
      <c r="J130" s="778"/>
      <c r="K130" s="778"/>
      <c r="L130" s="778">
        <f t="shared" si="23"/>
        <v>0</v>
      </c>
      <c r="M130" s="778">
        <f t="shared" si="23"/>
        <v>0</v>
      </c>
      <c r="N130" s="778">
        <f t="shared" si="39"/>
        <v>0</v>
      </c>
      <c r="O130" s="778"/>
      <c r="P130" s="778">
        <f t="shared" si="40"/>
        <v>0</v>
      </c>
      <c r="Q130" s="778">
        <f t="shared" si="40"/>
        <v>0</v>
      </c>
      <c r="R130" s="778">
        <f t="shared" si="40"/>
        <v>0</v>
      </c>
      <c r="S130" s="778"/>
      <c r="T130" s="778">
        <f t="shared" si="41"/>
        <v>0</v>
      </c>
      <c r="U130" s="778"/>
      <c r="V130" s="778">
        <f t="shared" si="24"/>
        <v>0</v>
      </c>
      <c r="W130" s="779"/>
    </row>
    <row r="131" spans="1:23" s="775" customFormat="1" ht="8.1" customHeight="1" x14ac:dyDescent="0.25">
      <c r="A131" s="1408" t="s">
        <v>1218</v>
      </c>
      <c r="B131" s="1409"/>
      <c r="C131" s="1410" t="s">
        <v>1219</v>
      </c>
      <c r="D131" s="1411"/>
      <c r="E131" s="1411"/>
      <c r="F131" s="1411"/>
      <c r="G131" s="1411"/>
      <c r="H131" s="776" t="s">
        <v>970</v>
      </c>
      <c r="I131" s="777"/>
      <c r="J131" s="778"/>
      <c r="K131" s="778"/>
      <c r="L131" s="778">
        <f t="shared" si="23"/>
        <v>0</v>
      </c>
      <c r="M131" s="778">
        <f t="shared" si="23"/>
        <v>0</v>
      </c>
      <c r="N131" s="778">
        <f t="shared" si="39"/>
        <v>0</v>
      </c>
      <c r="O131" s="778"/>
      <c r="P131" s="778">
        <f t="shared" si="40"/>
        <v>0</v>
      </c>
      <c r="Q131" s="778">
        <f t="shared" si="40"/>
        <v>0</v>
      </c>
      <c r="R131" s="778">
        <f t="shared" si="40"/>
        <v>0</v>
      </c>
      <c r="S131" s="778"/>
      <c r="T131" s="778">
        <f t="shared" si="41"/>
        <v>0</v>
      </c>
      <c r="U131" s="778"/>
      <c r="V131" s="778">
        <f t="shared" si="24"/>
        <v>0</v>
      </c>
      <c r="W131" s="779"/>
    </row>
    <row r="132" spans="1:23" s="775" customFormat="1" ht="17.100000000000001" customHeight="1" x14ac:dyDescent="0.25">
      <c r="A132" s="1408" t="s">
        <v>1220</v>
      </c>
      <c r="B132" s="1409"/>
      <c r="C132" s="1410" t="s">
        <v>1110</v>
      </c>
      <c r="D132" s="1411"/>
      <c r="E132" s="1411"/>
      <c r="F132" s="1411"/>
      <c r="G132" s="1411"/>
      <c r="H132" s="776" t="s">
        <v>970</v>
      </c>
      <c r="I132" s="777"/>
      <c r="J132" s="778"/>
      <c r="K132" s="778"/>
      <c r="L132" s="778">
        <f t="shared" si="23"/>
        <v>0</v>
      </c>
      <c r="M132" s="778">
        <f t="shared" si="23"/>
        <v>0</v>
      </c>
      <c r="N132" s="778">
        <f t="shared" si="39"/>
        <v>0</v>
      </c>
      <c r="O132" s="778"/>
      <c r="P132" s="778">
        <f t="shared" si="40"/>
        <v>0</v>
      </c>
      <c r="Q132" s="778">
        <f t="shared" si="40"/>
        <v>0</v>
      </c>
      <c r="R132" s="778">
        <f t="shared" si="40"/>
        <v>0</v>
      </c>
      <c r="S132" s="778"/>
      <c r="T132" s="778">
        <f t="shared" si="41"/>
        <v>0</v>
      </c>
      <c r="U132" s="778"/>
      <c r="V132" s="778">
        <f t="shared" si="24"/>
        <v>0</v>
      </c>
      <c r="W132" s="779"/>
    </row>
    <row r="133" spans="1:23" s="775" customFormat="1" ht="8.1" customHeight="1" x14ac:dyDescent="0.25">
      <c r="A133" s="1408" t="s">
        <v>778</v>
      </c>
      <c r="B133" s="1409"/>
      <c r="C133" s="1420" t="s">
        <v>1112</v>
      </c>
      <c r="D133" s="1421"/>
      <c r="E133" s="1421"/>
      <c r="F133" s="1421"/>
      <c r="G133" s="1421"/>
      <c r="H133" s="776" t="s">
        <v>970</v>
      </c>
      <c r="I133" s="777"/>
      <c r="J133" s="778"/>
      <c r="K133" s="778"/>
      <c r="L133" s="778">
        <f t="shared" si="23"/>
        <v>0</v>
      </c>
      <c r="M133" s="778">
        <f t="shared" si="23"/>
        <v>0</v>
      </c>
      <c r="N133" s="778">
        <f t="shared" si="39"/>
        <v>0</v>
      </c>
      <c r="O133" s="778"/>
      <c r="P133" s="778">
        <f t="shared" si="40"/>
        <v>0</v>
      </c>
      <c r="Q133" s="778">
        <f t="shared" si="40"/>
        <v>0</v>
      </c>
      <c r="R133" s="778">
        <f t="shared" si="40"/>
        <v>0</v>
      </c>
      <c r="S133" s="778"/>
      <c r="T133" s="778">
        <f t="shared" si="41"/>
        <v>0</v>
      </c>
      <c r="U133" s="778"/>
      <c r="V133" s="778">
        <f t="shared" si="24"/>
        <v>0</v>
      </c>
      <c r="W133" s="779"/>
    </row>
    <row r="134" spans="1:23" s="775" customFormat="1" ht="8.1" customHeight="1" x14ac:dyDescent="0.25">
      <c r="A134" s="1408" t="s">
        <v>779</v>
      </c>
      <c r="B134" s="1409"/>
      <c r="C134" s="1420" t="s">
        <v>988</v>
      </c>
      <c r="D134" s="1421"/>
      <c r="E134" s="1421"/>
      <c r="F134" s="1421"/>
      <c r="G134" s="1421"/>
      <c r="H134" s="776" t="s">
        <v>970</v>
      </c>
      <c r="I134" s="777"/>
      <c r="J134" s="778"/>
      <c r="K134" s="778"/>
      <c r="L134" s="778">
        <f t="shared" si="23"/>
        <v>0</v>
      </c>
      <c r="M134" s="778">
        <f t="shared" si="23"/>
        <v>0</v>
      </c>
      <c r="N134" s="778">
        <f t="shared" si="39"/>
        <v>0</v>
      </c>
      <c r="O134" s="778"/>
      <c r="P134" s="778">
        <f t="shared" si="40"/>
        <v>0</v>
      </c>
      <c r="Q134" s="778">
        <f t="shared" si="40"/>
        <v>0</v>
      </c>
      <c r="R134" s="778">
        <f t="shared" si="40"/>
        <v>0</v>
      </c>
      <c r="S134" s="778"/>
      <c r="T134" s="778">
        <f t="shared" si="41"/>
        <v>0</v>
      </c>
      <c r="U134" s="778"/>
      <c r="V134" s="778">
        <f t="shared" si="24"/>
        <v>0</v>
      </c>
      <c r="W134" s="779"/>
    </row>
    <row r="135" spans="1:23" s="775" customFormat="1" ht="8.1" customHeight="1" x14ac:dyDescent="0.25">
      <c r="A135" s="1408" t="s">
        <v>1221</v>
      </c>
      <c r="B135" s="1409"/>
      <c r="C135" s="1410" t="s">
        <v>1222</v>
      </c>
      <c r="D135" s="1411"/>
      <c r="E135" s="1411"/>
      <c r="F135" s="1411"/>
      <c r="G135" s="1411"/>
      <c r="H135" s="776" t="s">
        <v>970</v>
      </c>
      <c r="I135" s="778">
        <f>I120*0.2</f>
        <v>14.608000000000001</v>
      </c>
      <c r="J135" s="778">
        <f>J120*0.2</f>
        <v>11.977</v>
      </c>
      <c r="K135" s="778">
        <f>K120*0.2</f>
        <v>12.090999999999999</v>
      </c>
      <c r="L135" s="778">
        <f>L120*0.2</f>
        <v>0</v>
      </c>
      <c r="M135" s="778">
        <f>M120*0.2</f>
        <v>0</v>
      </c>
      <c r="N135" s="778">
        <f t="shared" ref="N135:U135" si="42">N120*0.2</f>
        <v>0</v>
      </c>
      <c r="O135" s="778">
        <f t="shared" si="42"/>
        <v>10.805999999999999</v>
      </c>
      <c r="P135" s="778">
        <f t="shared" si="42"/>
        <v>0</v>
      </c>
      <c r="Q135" s="778">
        <f t="shared" si="42"/>
        <v>0</v>
      </c>
      <c r="R135" s="778">
        <f t="shared" si="42"/>
        <v>0</v>
      </c>
      <c r="S135" s="778">
        <f t="shared" si="42"/>
        <v>0</v>
      </c>
      <c r="T135" s="778">
        <f t="shared" si="42"/>
        <v>0</v>
      </c>
      <c r="U135" s="778">
        <f t="shared" si="42"/>
        <v>0</v>
      </c>
      <c r="V135" s="778">
        <f t="shared" si="24"/>
        <v>0</v>
      </c>
      <c r="W135" s="779"/>
    </row>
    <row r="136" spans="1:23" s="775" customFormat="1" ht="8.25" customHeight="1" x14ac:dyDescent="0.25">
      <c r="A136" s="1416" t="s">
        <v>1223</v>
      </c>
      <c r="B136" s="1417"/>
      <c r="C136" s="1452" t="s">
        <v>1224</v>
      </c>
      <c r="D136" s="1453"/>
      <c r="E136" s="1453"/>
      <c r="F136" s="1453"/>
      <c r="G136" s="1453"/>
      <c r="H136" s="780" t="s">
        <v>970</v>
      </c>
      <c r="I136" s="1098">
        <f>I106-I121</f>
        <v>26.847000000000001</v>
      </c>
      <c r="J136" s="781">
        <f t="shared" ref="J136:W136" si="43">J106-J121</f>
        <v>212.98599999999999</v>
      </c>
      <c r="K136" s="781">
        <f t="shared" si="43"/>
        <v>207.792</v>
      </c>
      <c r="L136" s="781">
        <f t="shared" si="43"/>
        <v>-23.3</v>
      </c>
      <c r="M136" s="781">
        <f t="shared" si="43"/>
        <v>-23.3</v>
      </c>
      <c r="N136" s="781">
        <f t="shared" si="43"/>
        <v>-48</v>
      </c>
      <c r="O136" s="781">
        <f t="shared" si="43"/>
        <v>26.88</v>
      </c>
      <c r="P136" s="781">
        <f t="shared" si="43"/>
        <v>-24.056999999999999</v>
      </c>
      <c r="Q136" s="781">
        <f t="shared" si="43"/>
        <v>248.245</v>
      </c>
      <c r="R136" s="781">
        <f>R106-R121</f>
        <v>0</v>
      </c>
      <c r="S136" s="781">
        <f>S106-S121</f>
        <v>12</v>
      </c>
      <c r="T136" s="781">
        <f>T106-T121</f>
        <v>0</v>
      </c>
      <c r="U136" s="781">
        <f>U106-U121</f>
        <v>18.63</v>
      </c>
      <c r="V136" s="781">
        <f t="shared" si="24"/>
        <v>-95.356999999999999</v>
      </c>
      <c r="W136" s="782">
        <f t="shared" si="43"/>
        <v>239.23</v>
      </c>
    </row>
    <row r="137" spans="1:23" s="775" customFormat="1" ht="8.1" customHeight="1" x14ac:dyDescent="0.25">
      <c r="A137" s="1408" t="s">
        <v>119</v>
      </c>
      <c r="B137" s="1409"/>
      <c r="C137" s="1410" t="s">
        <v>1098</v>
      </c>
      <c r="D137" s="1411"/>
      <c r="E137" s="1411"/>
      <c r="F137" s="1411"/>
      <c r="G137" s="1411"/>
      <c r="H137" s="776" t="s">
        <v>970</v>
      </c>
      <c r="I137" s="777"/>
      <c r="J137" s="778"/>
      <c r="K137" s="778"/>
      <c r="L137" s="778">
        <f t="shared" si="23"/>
        <v>0</v>
      </c>
      <c r="M137" s="778">
        <f t="shared" si="23"/>
        <v>0</v>
      </c>
      <c r="N137" s="778">
        <f>L137*104.2/100</f>
        <v>0</v>
      </c>
      <c r="O137" s="778"/>
      <c r="P137" s="778">
        <f>N137*104.1/100</f>
        <v>0</v>
      </c>
      <c r="Q137" s="778"/>
      <c r="R137" s="778">
        <f>P137*104.1/100</f>
        <v>0</v>
      </c>
      <c r="S137" s="778"/>
      <c r="T137" s="778">
        <f>R137*104.1/100</f>
        <v>0</v>
      </c>
      <c r="U137" s="778"/>
      <c r="V137" s="778">
        <f t="shared" si="24"/>
        <v>0</v>
      </c>
      <c r="W137" s="779"/>
    </row>
    <row r="138" spans="1:23" s="775" customFormat="1" ht="16.5" customHeight="1" x14ac:dyDescent="0.25">
      <c r="A138" s="1408" t="s">
        <v>297</v>
      </c>
      <c r="B138" s="1409"/>
      <c r="C138" s="1420" t="s">
        <v>1099</v>
      </c>
      <c r="D138" s="1421"/>
      <c r="E138" s="1421"/>
      <c r="F138" s="1421"/>
      <c r="G138" s="1421"/>
      <c r="H138" s="776" t="s">
        <v>970</v>
      </c>
      <c r="I138" s="777"/>
      <c r="J138" s="778"/>
      <c r="K138" s="778"/>
      <c r="L138" s="778">
        <f t="shared" si="23"/>
        <v>0</v>
      </c>
      <c r="M138" s="778">
        <f t="shared" si="23"/>
        <v>0</v>
      </c>
      <c r="N138" s="778">
        <f>L138*104.2/100</f>
        <v>0</v>
      </c>
      <c r="O138" s="778"/>
      <c r="P138" s="778">
        <f>N138*104.1/100</f>
        <v>0</v>
      </c>
      <c r="Q138" s="778"/>
      <c r="R138" s="778">
        <f>P138*104.1/100</f>
        <v>0</v>
      </c>
      <c r="S138" s="778"/>
      <c r="T138" s="778">
        <f>R138*104.1/100</f>
        <v>0</v>
      </c>
      <c r="U138" s="778"/>
      <c r="V138" s="778">
        <f t="shared" si="24"/>
        <v>0</v>
      </c>
      <c r="W138" s="779"/>
    </row>
    <row r="139" spans="1:23" s="775" customFormat="1" ht="16.5" customHeight="1" x14ac:dyDescent="0.25">
      <c r="A139" s="1408" t="s">
        <v>298</v>
      </c>
      <c r="B139" s="1409"/>
      <c r="C139" s="1420" t="s">
        <v>1100</v>
      </c>
      <c r="D139" s="1421"/>
      <c r="E139" s="1421"/>
      <c r="F139" s="1421"/>
      <c r="G139" s="1421"/>
      <c r="H139" s="776" t="s">
        <v>970</v>
      </c>
      <c r="I139" s="777"/>
      <c r="J139" s="778"/>
      <c r="K139" s="778"/>
      <c r="L139" s="778">
        <f t="shared" si="23"/>
        <v>0</v>
      </c>
      <c r="M139" s="778">
        <f t="shared" si="23"/>
        <v>0</v>
      </c>
      <c r="N139" s="778">
        <f>L139*104.2/100</f>
        <v>0</v>
      </c>
      <c r="O139" s="778"/>
      <c r="P139" s="778">
        <f>N139*104.1/100</f>
        <v>0</v>
      </c>
      <c r="Q139" s="778"/>
      <c r="R139" s="778">
        <f>P139*104.1/100</f>
        <v>0</v>
      </c>
      <c r="S139" s="778"/>
      <c r="T139" s="778">
        <f>R139*104.1/100</f>
        <v>0</v>
      </c>
      <c r="U139" s="778"/>
      <c r="V139" s="778">
        <f t="shared" si="24"/>
        <v>0</v>
      </c>
      <c r="W139" s="779"/>
    </row>
    <row r="140" spans="1:23" s="775" customFormat="1" ht="16.5" customHeight="1" x14ac:dyDescent="0.25">
      <c r="A140" s="1408" t="s">
        <v>299</v>
      </c>
      <c r="B140" s="1409"/>
      <c r="C140" s="1420" t="s">
        <v>1101</v>
      </c>
      <c r="D140" s="1421"/>
      <c r="E140" s="1421"/>
      <c r="F140" s="1421"/>
      <c r="G140" s="1421"/>
      <c r="H140" s="776" t="s">
        <v>970</v>
      </c>
      <c r="I140" s="777"/>
      <c r="J140" s="778"/>
      <c r="K140" s="778"/>
      <c r="L140" s="778">
        <f t="shared" si="23"/>
        <v>0</v>
      </c>
      <c r="M140" s="778">
        <f t="shared" si="23"/>
        <v>0</v>
      </c>
      <c r="N140" s="778">
        <f>L140*104.2/100</f>
        <v>0</v>
      </c>
      <c r="O140" s="778"/>
      <c r="P140" s="778">
        <f>N140*104.1/100</f>
        <v>0</v>
      </c>
      <c r="Q140" s="778"/>
      <c r="R140" s="778">
        <f>P140*104.1/100</f>
        <v>0</v>
      </c>
      <c r="S140" s="778"/>
      <c r="T140" s="778">
        <f>R140*104.1/100</f>
        <v>0</v>
      </c>
      <c r="U140" s="778"/>
      <c r="V140" s="778">
        <f t="shared" si="24"/>
        <v>0</v>
      </c>
      <c r="W140" s="779"/>
    </row>
    <row r="141" spans="1:23" s="775" customFormat="1" ht="8.1" customHeight="1" x14ac:dyDescent="0.25">
      <c r="A141" s="1408" t="s">
        <v>120</v>
      </c>
      <c r="B141" s="1409"/>
      <c r="C141" s="1410" t="s">
        <v>1102</v>
      </c>
      <c r="D141" s="1411"/>
      <c r="E141" s="1411"/>
      <c r="F141" s="1411"/>
      <c r="G141" s="1411"/>
      <c r="H141" s="776" t="s">
        <v>970</v>
      </c>
      <c r="I141" s="777"/>
      <c r="J141" s="778"/>
      <c r="K141" s="778"/>
      <c r="L141" s="778">
        <f t="shared" si="23"/>
        <v>0</v>
      </c>
      <c r="M141" s="778">
        <f t="shared" si="23"/>
        <v>0</v>
      </c>
      <c r="N141" s="778">
        <f>L141*104.2/100</f>
        <v>0</v>
      </c>
      <c r="O141" s="778"/>
      <c r="P141" s="778">
        <f>N141*104.1/100</f>
        <v>0</v>
      </c>
      <c r="Q141" s="778"/>
      <c r="R141" s="778">
        <f>P141*104.1/100</f>
        <v>0</v>
      </c>
      <c r="S141" s="778"/>
      <c r="T141" s="778">
        <f>R141*104.1/100</f>
        <v>0</v>
      </c>
      <c r="U141" s="778"/>
      <c r="V141" s="778">
        <f t="shared" si="24"/>
        <v>0</v>
      </c>
      <c r="W141" s="779"/>
    </row>
    <row r="142" spans="1:23" s="775" customFormat="1" ht="8.1" customHeight="1" x14ac:dyDescent="0.25">
      <c r="A142" s="1408" t="s">
        <v>153</v>
      </c>
      <c r="B142" s="1409"/>
      <c r="C142" s="1410" t="s">
        <v>1103</v>
      </c>
      <c r="D142" s="1411"/>
      <c r="E142" s="1411"/>
      <c r="F142" s="1411"/>
      <c r="G142" s="1411"/>
      <c r="H142" s="776" t="s">
        <v>970</v>
      </c>
      <c r="I142" s="777">
        <f>I136</f>
        <v>26.847000000000001</v>
      </c>
      <c r="J142" s="778">
        <f t="shared" ref="J142:W142" si="44">J136</f>
        <v>212.98599999999999</v>
      </c>
      <c r="K142" s="778">
        <f t="shared" si="44"/>
        <v>207.792</v>
      </c>
      <c r="L142" s="778">
        <f t="shared" si="44"/>
        <v>-23.3</v>
      </c>
      <c r="M142" s="778">
        <f t="shared" si="44"/>
        <v>-23.3</v>
      </c>
      <c r="N142" s="778">
        <f t="shared" si="44"/>
        <v>-48</v>
      </c>
      <c r="O142" s="778">
        <f t="shared" si="44"/>
        <v>26.88</v>
      </c>
      <c r="P142" s="778">
        <f t="shared" si="44"/>
        <v>-24.056999999999999</v>
      </c>
      <c r="Q142" s="778">
        <f t="shared" si="44"/>
        <v>248.245</v>
      </c>
      <c r="R142" s="778">
        <f>R136</f>
        <v>0</v>
      </c>
      <c r="S142" s="778">
        <f>S136</f>
        <v>12</v>
      </c>
      <c r="T142" s="778">
        <f>T136</f>
        <v>0</v>
      </c>
      <c r="U142" s="778">
        <f>U136</f>
        <v>18.63</v>
      </c>
      <c r="V142" s="778">
        <f t="shared" si="24"/>
        <v>-95.356999999999999</v>
      </c>
      <c r="W142" s="1094">
        <f t="shared" si="44"/>
        <v>239.23</v>
      </c>
    </row>
    <row r="143" spans="1:23" s="775" customFormat="1" ht="8.1" customHeight="1" x14ac:dyDescent="0.25">
      <c r="A143" s="1408" t="s">
        <v>154</v>
      </c>
      <c r="B143" s="1409"/>
      <c r="C143" s="1410" t="s">
        <v>1104</v>
      </c>
      <c r="D143" s="1411"/>
      <c r="E143" s="1411"/>
      <c r="F143" s="1411"/>
      <c r="G143" s="1411"/>
      <c r="H143" s="776" t="s">
        <v>970</v>
      </c>
      <c r="I143" s="777"/>
      <c r="J143" s="778"/>
      <c r="K143" s="778"/>
      <c r="L143" s="778">
        <f t="shared" si="23"/>
        <v>0</v>
      </c>
      <c r="M143" s="778">
        <f t="shared" si="23"/>
        <v>0</v>
      </c>
      <c r="N143" s="778">
        <f t="shared" ref="N143:N154" si="45">L143*104.2/100</f>
        <v>0</v>
      </c>
      <c r="O143" s="778"/>
      <c r="P143" s="778">
        <f t="shared" ref="P143:P154" si="46">N143*104.1/100</f>
        <v>0</v>
      </c>
      <c r="Q143" s="778"/>
      <c r="R143" s="778">
        <f t="shared" ref="R143:R154" si="47">P143*104.1/100</f>
        <v>0</v>
      </c>
      <c r="S143" s="778"/>
      <c r="T143" s="778">
        <f t="shared" ref="T143:T154" si="48">R143*104.1/100</f>
        <v>0</v>
      </c>
      <c r="U143" s="778"/>
      <c r="V143" s="778">
        <f t="shared" si="24"/>
        <v>0</v>
      </c>
      <c r="W143" s="779"/>
    </row>
    <row r="144" spans="1:23" s="775" customFormat="1" ht="8.1" customHeight="1" x14ac:dyDescent="0.25">
      <c r="A144" s="1408" t="s">
        <v>1225</v>
      </c>
      <c r="B144" s="1409"/>
      <c r="C144" s="1410" t="s">
        <v>1105</v>
      </c>
      <c r="D144" s="1411"/>
      <c r="E144" s="1411"/>
      <c r="F144" s="1411"/>
      <c r="G144" s="1411"/>
      <c r="H144" s="776" t="s">
        <v>970</v>
      </c>
      <c r="I144" s="777"/>
      <c r="J144" s="778"/>
      <c r="K144" s="778"/>
      <c r="L144" s="778">
        <f t="shared" si="23"/>
        <v>0</v>
      </c>
      <c r="M144" s="778">
        <f t="shared" si="23"/>
        <v>0</v>
      </c>
      <c r="N144" s="778">
        <f t="shared" si="45"/>
        <v>0</v>
      </c>
      <c r="O144" s="778"/>
      <c r="P144" s="778">
        <f t="shared" si="46"/>
        <v>0</v>
      </c>
      <c r="Q144" s="778"/>
      <c r="R144" s="778">
        <f t="shared" si="47"/>
        <v>0</v>
      </c>
      <c r="S144" s="778"/>
      <c r="T144" s="778">
        <f t="shared" si="48"/>
        <v>0</v>
      </c>
      <c r="U144" s="778"/>
      <c r="V144" s="778">
        <f t="shared" si="24"/>
        <v>0</v>
      </c>
      <c r="W144" s="779"/>
    </row>
    <row r="145" spans="1:23" s="775" customFormat="1" ht="8.1" customHeight="1" x14ac:dyDescent="0.25">
      <c r="A145" s="1408" t="s">
        <v>1226</v>
      </c>
      <c r="B145" s="1409"/>
      <c r="C145" s="1410" t="s">
        <v>1106</v>
      </c>
      <c r="D145" s="1411"/>
      <c r="E145" s="1411"/>
      <c r="F145" s="1411"/>
      <c r="G145" s="1411"/>
      <c r="H145" s="776" t="s">
        <v>970</v>
      </c>
      <c r="I145" s="777"/>
      <c r="J145" s="778"/>
      <c r="K145" s="778"/>
      <c r="L145" s="778">
        <f t="shared" si="23"/>
        <v>0</v>
      </c>
      <c r="M145" s="778">
        <f t="shared" si="23"/>
        <v>0</v>
      </c>
      <c r="N145" s="778">
        <f t="shared" si="45"/>
        <v>0</v>
      </c>
      <c r="O145" s="778"/>
      <c r="P145" s="778">
        <f t="shared" si="46"/>
        <v>0</v>
      </c>
      <c r="Q145" s="778"/>
      <c r="R145" s="778">
        <f t="shared" si="47"/>
        <v>0</v>
      </c>
      <c r="S145" s="778"/>
      <c r="T145" s="778">
        <f t="shared" si="48"/>
        <v>0</v>
      </c>
      <c r="U145" s="778"/>
      <c r="V145" s="778">
        <f t="shared" si="24"/>
        <v>0</v>
      </c>
      <c r="W145" s="779"/>
    </row>
    <row r="146" spans="1:23" s="775" customFormat="1" ht="8.1" customHeight="1" x14ac:dyDescent="0.25">
      <c r="A146" s="1408" t="s">
        <v>1227</v>
      </c>
      <c r="B146" s="1409"/>
      <c r="C146" s="1410" t="s">
        <v>1108</v>
      </c>
      <c r="D146" s="1411"/>
      <c r="E146" s="1411"/>
      <c r="F146" s="1411"/>
      <c r="G146" s="1411"/>
      <c r="H146" s="776" t="s">
        <v>970</v>
      </c>
      <c r="I146" s="777"/>
      <c r="J146" s="778"/>
      <c r="K146" s="778"/>
      <c r="L146" s="778">
        <f t="shared" si="23"/>
        <v>0</v>
      </c>
      <c r="M146" s="778">
        <f t="shared" si="23"/>
        <v>0</v>
      </c>
      <c r="N146" s="778">
        <f t="shared" si="45"/>
        <v>0</v>
      </c>
      <c r="O146" s="778"/>
      <c r="P146" s="778">
        <f t="shared" si="46"/>
        <v>0</v>
      </c>
      <c r="Q146" s="778"/>
      <c r="R146" s="778">
        <f t="shared" si="47"/>
        <v>0</v>
      </c>
      <c r="S146" s="778"/>
      <c r="T146" s="778">
        <f t="shared" si="48"/>
        <v>0</v>
      </c>
      <c r="U146" s="778"/>
      <c r="V146" s="778">
        <f t="shared" si="24"/>
        <v>0</v>
      </c>
      <c r="W146" s="779"/>
    </row>
    <row r="147" spans="1:23" s="775" customFormat="1" ht="16.5" customHeight="1" x14ac:dyDescent="0.25">
      <c r="A147" s="1408" t="s">
        <v>1228</v>
      </c>
      <c r="B147" s="1409"/>
      <c r="C147" s="1410" t="s">
        <v>1110</v>
      </c>
      <c r="D147" s="1411"/>
      <c r="E147" s="1411"/>
      <c r="F147" s="1411"/>
      <c r="G147" s="1411"/>
      <c r="H147" s="776" t="s">
        <v>970</v>
      </c>
      <c r="I147" s="777"/>
      <c r="J147" s="778"/>
      <c r="K147" s="778"/>
      <c r="L147" s="778">
        <f t="shared" si="23"/>
        <v>0</v>
      </c>
      <c r="M147" s="778">
        <f t="shared" si="23"/>
        <v>0</v>
      </c>
      <c r="N147" s="778">
        <f t="shared" si="45"/>
        <v>0</v>
      </c>
      <c r="O147" s="778"/>
      <c r="P147" s="778">
        <f t="shared" si="46"/>
        <v>0</v>
      </c>
      <c r="Q147" s="778"/>
      <c r="R147" s="778">
        <f t="shared" si="47"/>
        <v>0</v>
      </c>
      <c r="S147" s="778"/>
      <c r="T147" s="778">
        <f t="shared" si="48"/>
        <v>0</v>
      </c>
      <c r="U147" s="778"/>
      <c r="V147" s="778">
        <f t="shared" si="24"/>
        <v>0</v>
      </c>
      <c r="W147" s="779"/>
    </row>
    <row r="148" spans="1:23" s="775" customFormat="1" ht="8.1" customHeight="1" x14ac:dyDescent="0.25">
      <c r="A148" s="1408" t="s">
        <v>1229</v>
      </c>
      <c r="B148" s="1409"/>
      <c r="C148" s="1420" t="s">
        <v>1112</v>
      </c>
      <c r="D148" s="1421"/>
      <c r="E148" s="1421"/>
      <c r="F148" s="1421"/>
      <c r="G148" s="1421"/>
      <c r="H148" s="776" t="s">
        <v>970</v>
      </c>
      <c r="I148" s="777"/>
      <c r="J148" s="778"/>
      <c r="K148" s="778"/>
      <c r="L148" s="778">
        <f t="shared" si="23"/>
        <v>0</v>
      </c>
      <c r="M148" s="778">
        <f t="shared" si="23"/>
        <v>0</v>
      </c>
      <c r="N148" s="778">
        <f t="shared" si="45"/>
        <v>0</v>
      </c>
      <c r="O148" s="778"/>
      <c r="P148" s="778">
        <f t="shared" si="46"/>
        <v>0</v>
      </c>
      <c r="Q148" s="778"/>
      <c r="R148" s="778">
        <f t="shared" si="47"/>
        <v>0</v>
      </c>
      <c r="S148" s="778"/>
      <c r="T148" s="778">
        <f t="shared" si="48"/>
        <v>0</v>
      </c>
      <c r="U148" s="778"/>
      <c r="V148" s="778">
        <f t="shared" si="24"/>
        <v>0</v>
      </c>
      <c r="W148" s="779"/>
    </row>
    <row r="149" spans="1:23" s="775" customFormat="1" ht="8.1" customHeight="1" x14ac:dyDescent="0.25">
      <c r="A149" s="1408" t="s">
        <v>1230</v>
      </c>
      <c r="B149" s="1409"/>
      <c r="C149" s="1420" t="s">
        <v>988</v>
      </c>
      <c r="D149" s="1421"/>
      <c r="E149" s="1421"/>
      <c r="F149" s="1421"/>
      <c r="G149" s="1421"/>
      <c r="H149" s="776" t="s">
        <v>970</v>
      </c>
      <c r="I149" s="777"/>
      <c r="J149" s="778"/>
      <c r="K149" s="778"/>
      <c r="L149" s="778">
        <f t="shared" si="23"/>
        <v>0</v>
      </c>
      <c r="M149" s="778">
        <f t="shared" si="23"/>
        <v>0</v>
      </c>
      <c r="N149" s="778">
        <f t="shared" si="45"/>
        <v>0</v>
      </c>
      <c r="O149" s="778"/>
      <c r="P149" s="778">
        <f t="shared" si="46"/>
        <v>0</v>
      </c>
      <c r="Q149" s="778"/>
      <c r="R149" s="778">
        <f t="shared" si="47"/>
        <v>0</v>
      </c>
      <c r="S149" s="778"/>
      <c r="T149" s="778">
        <f t="shared" si="48"/>
        <v>0</v>
      </c>
      <c r="U149" s="778"/>
      <c r="V149" s="778">
        <f t="shared" si="24"/>
        <v>0</v>
      </c>
      <c r="W149" s="779"/>
    </row>
    <row r="150" spans="1:23" s="775" customFormat="1" ht="8.1" customHeight="1" x14ac:dyDescent="0.25">
      <c r="A150" s="1408" t="s">
        <v>1231</v>
      </c>
      <c r="B150" s="1409"/>
      <c r="C150" s="1410" t="s">
        <v>1115</v>
      </c>
      <c r="D150" s="1411"/>
      <c r="E150" s="1411"/>
      <c r="F150" s="1411"/>
      <c r="G150" s="1411"/>
      <c r="H150" s="776" t="s">
        <v>970</v>
      </c>
      <c r="I150" s="777"/>
      <c r="J150" s="778"/>
      <c r="K150" s="778"/>
      <c r="L150" s="778">
        <f t="shared" si="23"/>
        <v>0</v>
      </c>
      <c r="M150" s="778">
        <f t="shared" si="23"/>
        <v>0</v>
      </c>
      <c r="N150" s="778">
        <f t="shared" si="45"/>
        <v>0</v>
      </c>
      <c r="O150" s="778"/>
      <c r="P150" s="778">
        <f t="shared" si="46"/>
        <v>0</v>
      </c>
      <c r="Q150" s="778"/>
      <c r="R150" s="778">
        <f t="shared" si="47"/>
        <v>0</v>
      </c>
      <c r="S150" s="778"/>
      <c r="T150" s="778">
        <f t="shared" si="48"/>
        <v>0</v>
      </c>
      <c r="U150" s="778"/>
      <c r="V150" s="778">
        <f t="shared" si="24"/>
        <v>0</v>
      </c>
      <c r="W150" s="779"/>
    </row>
    <row r="151" spans="1:23" s="775" customFormat="1" ht="8.1" customHeight="1" x14ac:dyDescent="0.25">
      <c r="A151" s="1416" t="s">
        <v>1232</v>
      </c>
      <c r="B151" s="1417"/>
      <c r="C151" s="1452" t="s">
        <v>1233</v>
      </c>
      <c r="D151" s="1453"/>
      <c r="E151" s="1453"/>
      <c r="F151" s="1453"/>
      <c r="G151" s="1453"/>
      <c r="H151" s="780" t="s">
        <v>970</v>
      </c>
      <c r="I151" s="1098"/>
      <c r="J151" s="781"/>
      <c r="K151" s="781"/>
      <c r="L151" s="781">
        <f t="shared" si="23"/>
        <v>0</v>
      </c>
      <c r="M151" s="781">
        <f t="shared" si="23"/>
        <v>0</v>
      </c>
      <c r="N151" s="781">
        <f t="shared" si="45"/>
        <v>0</v>
      </c>
      <c r="O151" s="781">
        <f>SUM(O152:O155)</f>
        <v>26.88</v>
      </c>
      <c r="P151" s="781">
        <f t="shared" ref="P151:U151" si="49">SUM(P152:P155)</f>
        <v>0</v>
      </c>
      <c r="Q151" s="781">
        <f t="shared" si="49"/>
        <v>248.245</v>
      </c>
      <c r="R151" s="781">
        <f t="shared" si="49"/>
        <v>0</v>
      </c>
      <c r="S151" s="781">
        <f t="shared" si="49"/>
        <v>12</v>
      </c>
      <c r="T151" s="781">
        <f t="shared" si="49"/>
        <v>0</v>
      </c>
      <c r="U151" s="781">
        <f t="shared" si="49"/>
        <v>18.63</v>
      </c>
      <c r="V151" s="781">
        <f t="shared" si="24"/>
        <v>0</v>
      </c>
      <c r="W151" s="800"/>
    </row>
    <row r="152" spans="1:23" s="775" customFormat="1" ht="8.1" customHeight="1" x14ac:dyDescent="0.25">
      <c r="A152" s="1408" t="s">
        <v>122</v>
      </c>
      <c r="B152" s="1409"/>
      <c r="C152" s="1410" t="s">
        <v>1234</v>
      </c>
      <c r="D152" s="1411"/>
      <c r="E152" s="1411"/>
      <c r="F152" s="1411"/>
      <c r="G152" s="1411"/>
      <c r="H152" s="776" t="s">
        <v>970</v>
      </c>
      <c r="I152" s="777"/>
      <c r="J152" s="778"/>
      <c r="K152" s="778"/>
      <c r="L152" s="778">
        <f t="shared" si="23"/>
        <v>0</v>
      </c>
      <c r="M152" s="778">
        <f t="shared" si="23"/>
        <v>0</v>
      </c>
      <c r="N152" s="778">
        <f t="shared" si="45"/>
        <v>0</v>
      </c>
      <c r="O152" s="778">
        <v>26.88</v>
      </c>
      <c r="P152" s="778">
        <f t="shared" si="46"/>
        <v>0</v>
      </c>
      <c r="Q152" s="778">
        <v>10.66</v>
      </c>
      <c r="R152" s="778">
        <f t="shared" si="47"/>
        <v>0</v>
      </c>
      <c r="S152" s="778">
        <v>12</v>
      </c>
      <c r="T152" s="778">
        <f t="shared" si="48"/>
        <v>0</v>
      </c>
      <c r="U152" s="778">
        <v>18.63</v>
      </c>
      <c r="V152" s="778">
        <f t="shared" si="24"/>
        <v>0</v>
      </c>
      <c r="W152" s="779"/>
    </row>
    <row r="153" spans="1:23" s="775" customFormat="1" ht="8.1" customHeight="1" x14ac:dyDescent="0.25">
      <c r="A153" s="1408" t="s">
        <v>123</v>
      </c>
      <c r="B153" s="1409"/>
      <c r="C153" s="1410" t="s">
        <v>1235</v>
      </c>
      <c r="D153" s="1411"/>
      <c r="E153" s="1411"/>
      <c r="F153" s="1411"/>
      <c r="G153" s="1411"/>
      <c r="H153" s="776" t="s">
        <v>970</v>
      </c>
      <c r="I153" s="777"/>
      <c r="J153" s="778"/>
      <c r="K153" s="778"/>
      <c r="L153" s="778">
        <f t="shared" si="23"/>
        <v>0</v>
      </c>
      <c r="M153" s="778">
        <f t="shared" si="23"/>
        <v>0</v>
      </c>
      <c r="N153" s="778">
        <f t="shared" si="45"/>
        <v>0</v>
      </c>
      <c r="O153" s="778"/>
      <c r="P153" s="778">
        <f t="shared" si="46"/>
        <v>0</v>
      </c>
      <c r="Q153" s="778"/>
      <c r="R153" s="778">
        <f t="shared" si="47"/>
        <v>0</v>
      </c>
      <c r="S153" s="778"/>
      <c r="T153" s="778">
        <f t="shared" si="48"/>
        <v>0</v>
      </c>
      <c r="U153" s="778"/>
      <c r="V153" s="778">
        <f t="shared" si="24"/>
        <v>0</v>
      </c>
      <c r="W153" s="779"/>
    </row>
    <row r="154" spans="1:23" s="775" customFormat="1" ht="8.1" customHeight="1" x14ac:dyDescent="0.25">
      <c r="A154" s="1408" t="s">
        <v>127</v>
      </c>
      <c r="B154" s="1409"/>
      <c r="C154" s="1410" t="s">
        <v>1236</v>
      </c>
      <c r="D154" s="1411"/>
      <c r="E154" s="1411"/>
      <c r="F154" s="1411"/>
      <c r="G154" s="1411"/>
      <c r="H154" s="776" t="s">
        <v>970</v>
      </c>
      <c r="I154" s="777"/>
      <c r="J154" s="778"/>
      <c r="K154" s="778"/>
      <c r="L154" s="778">
        <f t="shared" si="23"/>
        <v>0</v>
      </c>
      <c r="M154" s="778">
        <f t="shared" si="23"/>
        <v>0</v>
      </c>
      <c r="N154" s="778">
        <f t="shared" si="45"/>
        <v>0</v>
      </c>
      <c r="O154" s="778"/>
      <c r="P154" s="778">
        <f t="shared" si="46"/>
        <v>0</v>
      </c>
      <c r="Q154" s="778"/>
      <c r="R154" s="778">
        <f t="shared" si="47"/>
        <v>0</v>
      </c>
      <c r="S154" s="778"/>
      <c r="T154" s="778">
        <f t="shared" si="48"/>
        <v>0</v>
      </c>
      <c r="U154" s="778"/>
      <c r="V154" s="778">
        <f t="shared" si="24"/>
        <v>0</v>
      </c>
      <c r="W154" s="779"/>
    </row>
    <row r="155" spans="1:23" s="775" customFormat="1" ht="9" customHeight="1" thickBot="1" x14ac:dyDescent="0.3">
      <c r="A155" s="1430" t="s">
        <v>128</v>
      </c>
      <c r="B155" s="1431"/>
      <c r="C155" s="1454" t="s">
        <v>1237</v>
      </c>
      <c r="D155" s="1455"/>
      <c r="E155" s="1455"/>
      <c r="F155" s="1455"/>
      <c r="G155" s="1455"/>
      <c r="H155" s="783" t="s">
        <v>970</v>
      </c>
      <c r="I155" s="801"/>
      <c r="J155" s="802"/>
      <c r="K155" s="785"/>
      <c r="L155" s="785">
        <f>K155*104.4/100</f>
        <v>0</v>
      </c>
      <c r="M155" s="785">
        <f>L155*104.4/100</f>
        <v>0</v>
      </c>
      <c r="N155" s="785"/>
      <c r="O155" s="785">
        <f>O142-O152</f>
        <v>0</v>
      </c>
      <c r="P155" s="785">
        <v>0</v>
      </c>
      <c r="Q155" s="785">
        <f>Q142-Q152</f>
        <v>237.58500000000001</v>
      </c>
      <c r="R155" s="785">
        <f>R142-R152</f>
        <v>0</v>
      </c>
      <c r="S155" s="785">
        <f>S142-S152</f>
        <v>0</v>
      </c>
      <c r="T155" s="785">
        <f>T142-T152</f>
        <v>0</v>
      </c>
      <c r="U155" s="785">
        <f>U142-U152</f>
        <v>0</v>
      </c>
      <c r="V155" s="785">
        <f>L155+N155+P155+R155+T155</f>
        <v>0</v>
      </c>
      <c r="W155" s="803"/>
    </row>
    <row r="156" spans="1:23" s="775" customFormat="1" ht="9" customHeight="1" thickBot="1" x14ac:dyDescent="0.3">
      <c r="A156" s="1456" t="s">
        <v>1238</v>
      </c>
      <c r="B156" s="1457"/>
      <c r="C156" s="1458" t="s">
        <v>1167</v>
      </c>
      <c r="D156" s="1459"/>
      <c r="E156" s="1459"/>
      <c r="F156" s="1459"/>
      <c r="G156" s="1459"/>
      <c r="H156" s="804" t="s">
        <v>830</v>
      </c>
      <c r="I156" s="805"/>
      <c r="J156" s="806"/>
      <c r="K156" s="806"/>
      <c r="L156" s="806"/>
      <c r="M156" s="806"/>
      <c r="N156" s="806"/>
      <c r="O156" s="806"/>
      <c r="P156" s="806"/>
      <c r="Q156" s="806"/>
      <c r="R156" s="806"/>
      <c r="S156" s="806"/>
      <c r="T156" s="806"/>
      <c r="U156" s="806"/>
      <c r="V156" s="806">
        <f>L156+N156+P156</f>
        <v>0</v>
      </c>
      <c r="W156" s="807"/>
    </row>
    <row r="157" spans="1:23" s="775" customFormat="1" ht="16.5" customHeight="1" x14ac:dyDescent="0.25">
      <c r="A157" s="1460" t="s">
        <v>155</v>
      </c>
      <c r="B157" s="1461"/>
      <c r="C157" s="1462" t="s">
        <v>1239</v>
      </c>
      <c r="D157" s="1463"/>
      <c r="E157" s="1463"/>
      <c r="F157" s="1463"/>
      <c r="G157" s="1463"/>
      <c r="H157" s="808" t="s">
        <v>970</v>
      </c>
      <c r="I157" s="1103">
        <f t="shared" ref="I157:U157" si="50">I106+I102+I66</f>
        <v>118.027</v>
      </c>
      <c r="J157" s="809">
        <f t="shared" si="50"/>
        <v>340.41199999999998</v>
      </c>
      <c r="K157" s="809">
        <f t="shared" si="50"/>
        <v>336.30500000000001</v>
      </c>
      <c r="L157" s="809">
        <f t="shared" si="50"/>
        <v>49.262999999999998</v>
      </c>
      <c r="M157" s="809">
        <f t="shared" si="50"/>
        <v>49.262999999999998</v>
      </c>
      <c r="N157" s="809">
        <f t="shared" si="50"/>
        <v>24.562999999999999</v>
      </c>
      <c r="O157" s="809">
        <f t="shared" si="50"/>
        <v>108.976</v>
      </c>
      <c r="P157" s="809">
        <f t="shared" si="50"/>
        <v>48.506</v>
      </c>
      <c r="Q157" s="809">
        <f t="shared" si="50"/>
        <v>329.34399999999999</v>
      </c>
      <c r="R157" s="809">
        <f t="shared" si="50"/>
        <v>72.563000000000002</v>
      </c>
      <c r="S157" s="809">
        <f t="shared" si="50"/>
        <v>87.563000000000002</v>
      </c>
      <c r="T157" s="809">
        <f t="shared" si="50"/>
        <v>72.563000000000002</v>
      </c>
      <c r="U157" s="809">
        <f t="shared" si="50"/>
        <v>95.850999999999999</v>
      </c>
      <c r="V157" s="809">
        <f>V106+V102+V66</f>
        <v>267.45800000000003</v>
      </c>
      <c r="W157" s="809">
        <f>W106+W102+W66</f>
        <v>616.96600000000001</v>
      </c>
    </row>
    <row r="158" spans="1:23" s="775" customFormat="1" ht="8.1" customHeight="1" x14ac:dyDescent="0.25">
      <c r="A158" s="1408" t="s">
        <v>156</v>
      </c>
      <c r="B158" s="1409"/>
      <c r="C158" s="1410" t="s">
        <v>1240</v>
      </c>
      <c r="D158" s="1411"/>
      <c r="E158" s="1411"/>
      <c r="F158" s="1411"/>
      <c r="G158" s="1411"/>
      <c r="H158" s="776" t="s">
        <v>970</v>
      </c>
      <c r="I158" s="1093"/>
      <c r="J158" s="810"/>
      <c r="K158" s="810"/>
      <c r="L158" s="810"/>
      <c r="M158" s="810"/>
      <c r="N158" s="810"/>
      <c r="O158" s="810"/>
      <c r="P158" s="810"/>
      <c r="Q158" s="810"/>
      <c r="R158" s="810"/>
      <c r="S158" s="810"/>
      <c r="T158" s="810"/>
      <c r="U158" s="810"/>
      <c r="V158" s="810"/>
      <c r="W158" s="779"/>
    </row>
    <row r="159" spans="1:23" s="775" customFormat="1" ht="8.1" customHeight="1" x14ac:dyDescent="0.25">
      <c r="A159" s="1408" t="s">
        <v>1241</v>
      </c>
      <c r="B159" s="1409"/>
      <c r="C159" s="1420" t="s">
        <v>1242</v>
      </c>
      <c r="D159" s="1421"/>
      <c r="E159" s="1421"/>
      <c r="F159" s="1421"/>
      <c r="G159" s="1421"/>
      <c r="H159" s="776" t="s">
        <v>970</v>
      </c>
      <c r="I159" s="1093"/>
      <c r="J159" s="810"/>
      <c r="K159" s="810"/>
      <c r="L159" s="810"/>
      <c r="M159" s="810"/>
      <c r="N159" s="810"/>
      <c r="O159" s="810"/>
      <c r="P159" s="810"/>
      <c r="Q159" s="810"/>
      <c r="R159" s="810"/>
      <c r="S159" s="810"/>
      <c r="T159" s="810"/>
      <c r="U159" s="810"/>
      <c r="V159" s="810"/>
      <c r="W159" s="779"/>
    </row>
    <row r="160" spans="1:23" s="775" customFormat="1" ht="8.1" customHeight="1" x14ac:dyDescent="0.25">
      <c r="A160" s="1408" t="s">
        <v>157</v>
      </c>
      <c r="B160" s="1409"/>
      <c r="C160" s="1410" t="s">
        <v>1243</v>
      </c>
      <c r="D160" s="1411"/>
      <c r="E160" s="1411"/>
      <c r="F160" s="1411"/>
      <c r="G160" s="1411"/>
      <c r="H160" s="776" t="s">
        <v>970</v>
      </c>
      <c r="I160" s="1093"/>
      <c r="J160" s="810"/>
      <c r="K160" s="810"/>
      <c r="L160" s="810"/>
      <c r="M160" s="810"/>
      <c r="N160" s="810"/>
      <c r="O160" s="810"/>
      <c r="P160" s="810"/>
      <c r="Q160" s="810"/>
      <c r="R160" s="810"/>
      <c r="S160" s="810"/>
      <c r="T160" s="810"/>
      <c r="U160" s="810"/>
      <c r="V160" s="810"/>
      <c r="W160" s="779"/>
    </row>
    <row r="161" spans="1:23" s="775" customFormat="1" ht="8.1" customHeight="1" x14ac:dyDescent="0.25">
      <c r="A161" s="1408" t="s">
        <v>1244</v>
      </c>
      <c r="B161" s="1409"/>
      <c r="C161" s="1420" t="s">
        <v>1245</v>
      </c>
      <c r="D161" s="1421"/>
      <c r="E161" s="1421"/>
      <c r="F161" s="1421"/>
      <c r="G161" s="1421"/>
      <c r="H161" s="776" t="s">
        <v>970</v>
      </c>
      <c r="I161" s="1093"/>
      <c r="J161" s="810"/>
      <c r="K161" s="810"/>
      <c r="L161" s="810"/>
      <c r="M161" s="810"/>
      <c r="N161" s="810"/>
      <c r="O161" s="810"/>
      <c r="P161" s="810"/>
      <c r="Q161" s="810"/>
      <c r="R161" s="810"/>
      <c r="S161" s="810"/>
      <c r="T161" s="810"/>
      <c r="U161" s="810"/>
      <c r="V161" s="810"/>
      <c r="W161" s="779"/>
    </row>
    <row r="162" spans="1:23" s="775" customFormat="1" ht="17.25" customHeight="1" thickBot="1" x14ac:dyDescent="0.3">
      <c r="A162" s="1434" t="s">
        <v>158</v>
      </c>
      <c r="B162" s="1435"/>
      <c r="C162" s="1464" t="s">
        <v>1246</v>
      </c>
      <c r="D162" s="1465"/>
      <c r="E162" s="1465"/>
      <c r="F162" s="1465"/>
      <c r="G162" s="1465"/>
      <c r="H162" s="790" t="s">
        <v>830</v>
      </c>
      <c r="I162" s="1097"/>
      <c r="J162" s="811"/>
      <c r="K162" s="811"/>
      <c r="L162" s="811"/>
      <c r="M162" s="811"/>
      <c r="N162" s="811"/>
      <c r="O162" s="811"/>
      <c r="P162" s="811"/>
      <c r="Q162" s="811"/>
      <c r="R162" s="811"/>
      <c r="S162" s="811"/>
      <c r="T162" s="811"/>
      <c r="U162" s="811"/>
      <c r="V162" s="811"/>
      <c r="W162" s="793"/>
    </row>
    <row r="163" spans="1:23" s="634" customFormat="1" ht="10.5" customHeight="1" thickBot="1" x14ac:dyDescent="0.25">
      <c r="A163" s="1466" t="s">
        <v>1247</v>
      </c>
      <c r="B163" s="1467"/>
      <c r="C163" s="1467"/>
      <c r="D163" s="1467"/>
      <c r="E163" s="1467"/>
      <c r="F163" s="1467"/>
      <c r="G163" s="1467"/>
      <c r="H163" s="1467"/>
      <c r="I163" s="1467"/>
      <c r="J163" s="1467"/>
      <c r="K163" s="1467"/>
      <c r="L163" s="1467"/>
      <c r="M163" s="1467"/>
      <c r="N163" s="1467"/>
      <c r="O163" s="1467"/>
      <c r="P163" s="1467"/>
      <c r="Q163" s="1467"/>
      <c r="R163" s="1467"/>
      <c r="S163" s="1467"/>
      <c r="T163" s="1467"/>
      <c r="U163" s="1467"/>
      <c r="V163" s="1467"/>
      <c r="W163" s="1468"/>
    </row>
    <row r="164" spans="1:23" s="775" customFormat="1" ht="9" customHeight="1" x14ac:dyDescent="0.25">
      <c r="A164" s="1469" t="s">
        <v>1248</v>
      </c>
      <c r="B164" s="1470"/>
      <c r="C164" s="1471" t="s">
        <v>1249</v>
      </c>
      <c r="D164" s="1415"/>
      <c r="E164" s="1415"/>
      <c r="F164" s="1415"/>
      <c r="G164" s="1472"/>
      <c r="H164" s="812" t="s">
        <v>970</v>
      </c>
      <c r="I164" s="813">
        <f t="shared" ref="I164:W164" si="51">I165+I170+I178+I181</f>
        <v>3310.8919999999998</v>
      </c>
      <c r="J164" s="813">
        <f t="shared" si="51"/>
        <v>3387.7350000000001</v>
      </c>
      <c r="K164" s="813">
        <f t="shared" si="51"/>
        <v>3378.4740000000002</v>
      </c>
      <c r="L164" s="813">
        <f t="shared" si="51"/>
        <v>955.21900000000005</v>
      </c>
      <c r="M164" s="813">
        <f t="shared" si="51"/>
        <v>955.21900000000005</v>
      </c>
      <c r="N164" s="813">
        <f t="shared" si="51"/>
        <v>910.26599999999996</v>
      </c>
      <c r="O164" s="813">
        <f t="shared" si="51"/>
        <v>1007.654</v>
      </c>
      <c r="P164" s="813">
        <f t="shared" si="51"/>
        <v>956.36599999999999</v>
      </c>
      <c r="Q164" s="813">
        <f t="shared" si="51"/>
        <v>1289.712</v>
      </c>
      <c r="R164" s="813">
        <f t="shared" si="51"/>
        <v>1003.075</v>
      </c>
      <c r="S164" s="813">
        <f t="shared" si="51"/>
        <v>1021.075</v>
      </c>
      <c r="T164" s="813">
        <f t="shared" si="51"/>
        <v>1021.314</v>
      </c>
      <c r="U164" s="813">
        <f t="shared" si="51"/>
        <v>1049.26</v>
      </c>
      <c r="V164" s="813">
        <f t="shared" si="51"/>
        <v>4038.5340000000001</v>
      </c>
      <c r="W164" s="814">
        <f t="shared" si="51"/>
        <v>0</v>
      </c>
    </row>
    <row r="165" spans="1:23" s="775" customFormat="1" ht="8.1" customHeight="1" x14ac:dyDescent="0.25">
      <c r="A165" s="1408" t="s">
        <v>159</v>
      </c>
      <c r="B165" s="1473"/>
      <c r="C165" s="1476" t="s">
        <v>1098</v>
      </c>
      <c r="D165" s="1411"/>
      <c r="E165" s="1411"/>
      <c r="F165" s="1411"/>
      <c r="G165" s="1477"/>
      <c r="H165" s="799" t="s">
        <v>970</v>
      </c>
      <c r="I165" s="815"/>
      <c r="J165" s="810"/>
      <c r="K165" s="810"/>
      <c r="L165" s="810">
        <f>K165*104.4/100</f>
        <v>0</v>
      </c>
      <c r="M165" s="810"/>
      <c r="N165" s="810">
        <f>L165*104.2/100</f>
        <v>0</v>
      </c>
      <c r="O165" s="810"/>
      <c r="P165" s="810">
        <f>N165*104.1/100</f>
        <v>0</v>
      </c>
      <c r="Q165" s="810"/>
      <c r="R165" s="810">
        <f t="shared" ref="R165:R177" si="52">P165*104.1/100</f>
        <v>0</v>
      </c>
      <c r="S165" s="810"/>
      <c r="T165" s="810">
        <f t="shared" ref="T165:T177" si="53">P165*104.1/100</f>
        <v>0</v>
      </c>
      <c r="U165" s="810"/>
      <c r="V165" s="810">
        <f>L165+N165+P165+R165+T165</f>
        <v>0</v>
      </c>
      <c r="W165" s="799"/>
    </row>
    <row r="166" spans="1:23" s="775" customFormat="1" ht="16.5" customHeight="1" x14ac:dyDescent="0.25">
      <c r="A166" s="1408" t="s">
        <v>1250</v>
      </c>
      <c r="B166" s="1473"/>
      <c r="C166" s="1474" t="s">
        <v>1099</v>
      </c>
      <c r="D166" s="1421"/>
      <c r="E166" s="1421"/>
      <c r="F166" s="1421"/>
      <c r="G166" s="1475"/>
      <c r="H166" s="799" t="s">
        <v>970</v>
      </c>
      <c r="I166" s="1093"/>
      <c r="J166" s="810"/>
      <c r="K166" s="810"/>
      <c r="L166" s="810">
        <f>K166*104.4/100</f>
        <v>0</v>
      </c>
      <c r="M166" s="810"/>
      <c r="N166" s="810">
        <f>L166*104.2/100</f>
        <v>0</v>
      </c>
      <c r="O166" s="810"/>
      <c r="P166" s="810">
        <f>N166*104.1/100</f>
        <v>0</v>
      </c>
      <c r="Q166" s="810"/>
      <c r="R166" s="810">
        <f t="shared" si="52"/>
        <v>0</v>
      </c>
      <c r="S166" s="810"/>
      <c r="T166" s="810">
        <f t="shared" si="53"/>
        <v>0</v>
      </c>
      <c r="U166" s="810"/>
      <c r="V166" s="810">
        <f t="shared" ref="V166:V178" si="54">L166+N166+P166+R166+T166</f>
        <v>0</v>
      </c>
      <c r="W166" s="779"/>
    </row>
    <row r="167" spans="1:23" s="775" customFormat="1" ht="16.5" customHeight="1" x14ac:dyDescent="0.25">
      <c r="A167" s="1408" t="s">
        <v>1251</v>
      </c>
      <c r="B167" s="1473"/>
      <c r="C167" s="1474" t="s">
        <v>1100</v>
      </c>
      <c r="D167" s="1421"/>
      <c r="E167" s="1421"/>
      <c r="F167" s="1421"/>
      <c r="G167" s="1475"/>
      <c r="H167" s="799" t="s">
        <v>970</v>
      </c>
      <c r="I167" s="1093"/>
      <c r="J167" s="810"/>
      <c r="K167" s="810"/>
      <c r="L167" s="810">
        <f>K167*104.4/100</f>
        <v>0</v>
      </c>
      <c r="M167" s="810"/>
      <c r="N167" s="810">
        <f>L167*104.2/100</f>
        <v>0</v>
      </c>
      <c r="O167" s="810"/>
      <c r="P167" s="810">
        <f>N167*104.1/100</f>
        <v>0</v>
      </c>
      <c r="Q167" s="810"/>
      <c r="R167" s="810">
        <f t="shared" si="52"/>
        <v>0</v>
      </c>
      <c r="S167" s="810"/>
      <c r="T167" s="810">
        <f t="shared" si="53"/>
        <v>0</v>
      </c>
      <c r="U167" s="810"/>
      <c r="V167" s="810">
        <f t="shared" si="54"/>
        <v>0</v>
      </c>
      <c r="W167" s="779"/>
    </row>
    <row r="168" spans="1:23" s="775" customFormat="1" ht="16.5" customHeight="1" x14ac:dyDescent="0.25">
      <c r="A168" s="1408" t="s">
        <v>1252</v>
      </c>
      <c r="B168" s="1473"/>
      <c r="C168" s="1474" t="s">
        <v>1101</v>
      </c>
      <c r="D168" s="1421"/>
      <c r="E168" s="1421"/>
      <c r="F168" s="1421"/>
      <c r="G168" s="1475"/>
      <c r="H168" s="799" t="s">
        <v>970</v>
      </c>
      <c r="I168" s="1093"/>
      <c r="J168" s="810"/>
      <c r="K168" s="810"/>
      <c r="L168" s="810">
        <f>K168*104.4/100</f>
        <v>0</v>
      </c>
      <c r="M168" s="810"/>
      <c r="N168" s="810">
        <f>L168*104.2/100</f>
        <v>0</v>
      </c>
      <c r="O168" s="810"/>
      <c r="P168" s="810">
        <f>N168*104.1/100</f>
        <v>0</v>
      </c>
      <c r="Q168" s="810"/>
      <c r="R168" s="810">
        <f t="shared" si="52"/>
        <v>0</v>
      </c>
      <c r="S168" s="810"/>
      <c r="T168" s="810">
        <f t="shared" si="53"/>
        <v>0</v>
      </c>
      <c r="U168" s="810"/>
      <c r="V168" s="810">
        <f t="shared" si="54"/>
        <v>0</v>
      </c>
      <c r="W168" s="779"/>
    </row>
    <row r="169" spans="1:23" s="775" customFormat="1" ht="8.1" customHeight="1" x14ac:dyDescent="0.25">
      <c r="A169" s="1408" t="s">
        <v>160</v>
      </c>
      <c r="B169" s="1473"/>
      <c r="C169" s="1476" t="s">
        <v>1102</v>
      </c>
      <c r="D169" s="1411"/>
      <c r="E169" s="1411"/>
      <c r="F169" s="1411"/>
      <c r="G169" s="1477"/>
      <c r="H169" s="799" t="s">
        <v>970</v>
      </c>
      <c r="I169" s="1093"/>
      <c r="J169" s="810"/>
      <c r="K169" s="810"/>
      <c r="L169" s="810">
        <f>K169*104.4/100</f>
        <v>0</v>
      </c>
      <c r="M169" s="810"/>
      <c r="N169" s="810">
        <f>L169*104.2/100</f>
        <v>0</v>
      </c>
      <c r="O169" s="810"/>
      <c r="P169" s="810">
        <f>N169*104.1/100</f>
        <v>0</v>
      </c>
      <c r="Q169" s="810"/>
      <c r="R169" s="810">
        <f t="shared" si="52"/>
        <v>0</v>
      </c>
      <c r="S169" s="810"/>
      <c r="T169" s="810">
        <f t="shared" si="53"/>
        <v>0</v>
      </c>
      <c r="U169" s="810"/>
      <c r="V169" s="810">
        <f t="shared" si="54"/>
        <v>0</v>
      </c>
      <c r="W169" s="779"/>
    </row>
    <row r="170" spans="1:23" s="775" customFormat="1" ht="8.1" customHeight="1" x14ac:dyDescent="0.25">
      <c r="A170" s="1408" t="s">
        <v>161</v>
      </c>
      <c r="B170" s="1473"/>
      <c r="C170" s="1476" t="s">
        <v>1103</v>
      </c>
      <c r="D170" s="1411"/>
      <c r="E170" s="1411"/>
      <c r="F170" s="1411"/>
      <c r="G170" s="1477"/>
      <c r="H170" s="799" t="s">
        <v>970</v>
      </c>
      <c r="I170" s="1093">
        <f>I26</f>
        <v>3234.1619999999998</v>
      </c>
      <c r="J170" s="1093">
        <f>J26</f>
        <v>3322.7570000000001</v>
      </c>
      <c r="K170" s="1093">
        <f>K26</f>
        <v>3307.81</v>
      </c>
      <c r="L170" s="1093">
        <f>L26*1.2</f>
        <v>955.21900000000005</v>
      </c>
      <c r="M170" s="810">
        <f>M26*1.2</f>
        <v>955.21900000000005</v>
      </c>
      <c r="N170" s="810">
        <f t="shared" ref="N170:U170" si="55">N26*1.2</f>
        <v>910.26599999999996</v>
      </c>
      <c r="O170" s="810">
        <f t="shared" si="55"/>
        <v>953.62300000000005</v>
      </c>
      <c r="P170" s="810">
        <f t="shared" si="55"/>
        <v>956.36599999999999</v>
      </c>
      <c r="Q170" s="810">
        <f t="shared" si="55"/>
        <v>1289.712</v>
      </c>
      <c r="R170" s="810">
        <f t="shared" si="55"/>
        <v>1003.075</v>
      </c>
      <c r="S170" s="810">
        <f t="shared" si="55"/>
        <v>1021.075</v>
      </c>
      <c r="T170" s="810">
        <f t="shared" si="55"/>
        <v>1021.314</v>
      </c>
      <c r="U170" s="810">
        <f t="shared" si="55"/>
        <v>1049.26</v>
      </c>
      <c r="V170" s="810">
        <f>V26</f>
        <v>4038.5340000000001</v>
      </c>
      <c r="W170" s="779"/>
    </row>
    <row r="171" spans="1:23" s="775" customFormat="1" ht="8.1" customHeight="1" x14ac:dyDescent="0.25">
      <c r="A171" s="1408" t="s">
        <v>162</v>
      </c>
      <c r="B171" s="1473"/>
      <c r="C171" s="1476" t="s">
        <v>1104</v>
      </c>
      <c r="D171" s="1411"/>
      <c r="E171" s="1411"/>
      <c r="F171" s="1411"/>
      <c r="G171" s="1477"/>
      <c r="H171" s="799" t="s">
        <v>970</v>
      </c>
      <c r="I171" s="1093"/>
      <c r="J171" s="810"/>
      <c r="K171" s="810"/>
      <c r="L171" s="810">
        <f t="shared" ref="L171:L177" si="56">K171*104.4/100</f>
        <v>0</v>
      </c>
      <c r="M171" s="810"/>
      <c r="N171" s="810">
        <f t="shared" ref="N171:N177" si="57">L171*104.2/100</f>
        <v>0</v>
      </c>
      <c r="O171" s="810"/>
      <c r="P171" s="810">
        <f t="shared" ref="P171:P177" si="58">N171*104.1/100</f>
        <v>0</v>
      </c>
      <c r="Q171" s="810"/>
      <c r="R171" s="810">
        <f t="shared" si="52"/>
        <v>0</v>
      </c>
      <c r="S171" s="810"/>
      <c r="T171" s="810">
        <f t="shared" si="53"/>
        <v>0</v>
      </c>
      <c r="U171" s="810"/>
      <c r="V171" s="810">
        <f t="shared" si="54"/>
        <v>0</v>
      </c>
      <c r="W171" s="779"/>
    </row>
    <row r="172" spans="1:23" s="775" customFormat="1" ht="8.1" customHeight="1" x14ac:dyDescent="0.25">
      <c r="A172" s="1408" t="s">
        <v>1253</v>
      </c>
      <c r="B172" s="1473"/>
      <c r="C172" s="1476" t="s">
        <v>1105</v>
      </c>
      <c r="D172" s="1411"/>
      <c r="E172" s="1411"/>
      <c r="F172" s="1411"/>
      <c r="G172" s="1477"/>
      <c r="H172" s="799" t="s">
        <v>970</v>
      </c>
      <c r="I172" s="1093"/>
      <c r="J172" s="810"/>
      <c r="K172" s="810"/>
      <c r="L172" s="810">
        <f t="shared" si="56"/>
        <v>0</v>
      </c>
      <c r="M172" s="810"/>
      <c r="N172" s="810">
        <f t="shared" si="57"/>
        <v>0</v>
      </c>
      <c r="O172" s="810"/>
      <c r="P172" s="810">
        <f t="shared" si="58"/>
        <v>0</v>
      </c>
      <c r="Q172" s="810"/>
      <c r="R172" s="810">
        <f t="shared" si="52"/>
        <v>0</v>
      </c>
      <c r="S172" s="810"/>
      <c r="T172" s="810">
        <f t="shared" si="53"/>
        <v>0</v>
      </c>
      <c r="U172" s="810"/>
      <c r="V172" s="810">
        <f t="shared" si="54"/>
        <v>0</v>
      </c>
      <c r="W172" s="779"/>
    </row>
    <row r="173" spans="1:23" s="775" customFormat="1" ht="8.1" customHeight="1" x14ac:dyDescent="0.25">
      <c r="A173" s="1408" t="s">
        <v>1254</v>
      </c>
      <c r="B173" s="1473"/>
      <c r="C173" s="1476" t="s">
        <v>1106</v>
      </c>
      <c r="D173" s="1411"/>
      <c r="E173" s="1411"/>
      <c r="F173" s="1411"/>
      <c r="G173" s="1477"/>
      <c r="H173" s="799" t="s">
        <v>970</v>
      </c>
      <c r="I173" s="1093"/>
      <c r="J173" s="810"/>
      <c r="K173" s="810"/>
      <c r="L173" s="810">
        <f t="shared" si="56"/>
        <v>0</v>
      </c>
      <c r="M173" s="810"/>
      <c r="N173" s="810">
        <f t="shared" si="57"/>
        <v>0</v>
      </c>
      <c r="O173" s="810"/>
      <c r="P173" s="810">
        <f t="shared" si="58"/>
        <v>0</v>
      </c>
      <c r="Q173" s="810"/>
      <c r="R173" s="810">
        <f t="shared" si="52"/>
        <v>0</v>
      </c>
      <c r="S173" s="810"/>
      <c r="T173" s="810">
        <f t="shared" si="53"/>
        <v>0</v>
      </c>
      <c r="U173" s="810"/>
      <c r="V173" s="810">
        <f t="shared" si="54"/>
        <v>0</v>
      </c>
      <c r="W173" s="779"/>
    </row>
    <row r="174" spans="1:23" s="775" customFormat="1" ht="8.1" customHeight="1" x14ac:dyDescent="0.25">
      <c r="A174" s="1408" t="s">
        <v>1255</v>
      </c>
      <c r="B174" s="1473"/>
      <c r="C174" s="1476" t="s">
        <v>1108</v>
      </c>
      <c r="D174" s="1411"/>
      <c r="E174" s="1411"/>
      <c r="F174" s="1411"/>
      <c r="G174" s="1477"/>
      <c r="H174" s="799" t="s">
        <v>970</v>
      </c>
      <c r="I174" s="1093"/>
      <c r="J174" s="810"/>
      <c r="K174" s="810"/>
      <c r="L174" s="810">
        <f t="shared" si="56"/>
        <v>0</v>
      </c>
      <c r="M174" s="810"/>
      <c r="N174" s="810">
        <f t="shared" si="57"/>
        <v>0</v>
      </c>
      <c r="O174" s="810"/>
      <c r="P174" s="810">
        <f t="shared" si="58"/>
        <v>0</v>
      </c>
      <c r="Q174" s="810"/>
      <c r="R174" s="810">
        <f t="shared" si="52"/>
        <v>0</v>
      </c>
      <c r="S174" s="810"/>
      <c r="T174" s="810">
        <f t="shared" si="53"/>
        <v>0</v>
      </c>
      <c r="U174" s="810"/>
      <c r="V174" s="810">
        <f t="shared" si="54"/>
        <v>0</v>
      </c>
      <c r="W174" s="779"/>
    </row>
    <row r="175" spans="1:23" s="775" customFormat="1" ht="16.5" customHeight="1" x14ac:dyDescent="0.25">
      <c r="A175" s="1408" t="s">
        <v>1256</v>
      </c>
      <c r="B175" s="1473"/>
      <c r="C175" s="1476" t="s">
        <v>1110</v>
      </c>
      <c r="D175" s="1411"/>
      <c r="E175" s="1411"/>
      <c r="F175" s="1411"/>
      <c r="G175" s="1477"/>
      <c r="H175" s="799" t="s">
        <v>970</v>
      </c>
      <c r="I175" s="1093"/>
      <c r="J175" s="810"/>
      <c r="K175" s="810"/>
      <c r="L175" s="810">
        <f t="shared" si="56"/>
        <v>0</v>
      </c>
      <c r="M175" s="810"/>
      <c r="N175" s="810">
        <f t="shared" si="57"/>
        <v>0</v>
      </c>
      <c r="O175" s="810"/>
      <c r="P175" s="810">
        <f t="shared" si="58"/>
        <v>0</v>
      </c>
      <c r="Q175" s="810"/>
      <c r="R175" s="810">
        <f t="shared" si="52"/>
        <v>0</v>
      </c>
      <c r="S175" s="810"/>
      <c r="T175" s="810">
        <f t="shared" si="53"/>
        <v>0</v>
      </c>
      <c r="U175" s="810"/>
      <c r="V175" s="810">
        <f t="shared" si="54"/>
        <v>0</v>
      </c>
      <c r="W175" s="779"/>
    </row>
    <row r="176" spans="1:23" s="775" customFormat="1" ht="8.1" customHeight="1" x14ac:dyDescent="0.25">
      <c r="A176" s="1408" t="s">
        <v>1257</v>
      </c>
      <c r="B176" s="1473"/>
      <c r="C176" s="1474" t="s">
        <v>1112</v>
      </c>
      <c r="D176" s="1421"/>
      <c r="E176" s="1421"/>
      <c r="F176" s="1421"/>
      <c r="G176" s="1475"/>
      <c r="H176" s="799" t="s">
        <v>970</v>
      </c>
      <c r="I176" s="1093"/>
      <c r="J176" s="810"/>
      <c r="K176" s="810"/>
      <c r="L176" s="810">
        <f t="shared" si="56"/>
        <v>0</v>
      </c>
      <c r="M176" s="810"/>
      <c r="N176" s="810">
        <f t="shared" si="57"/>
        <v>0</v>
      </c>
      <c r="O176" s="810"/>
      <c r="P176" s="810">
        <f t="shared" si="58"/>
        <v>0</v>
      </c>
      <c r="Q176" s="810"/>
      <c r="R176" s="810">
        <f t="shared" si="52"/>
        <v>0</v>
      </c>
      <c r="S176" s="810"/>
      <c r="T176" s="810">
        <f t="shared" si="53"/>
        <v>0</v>
      </c>
      <c r="U176" s="810"/>
      <c r="V176" s="810">
        <f t="shared" si="54"/>
        <v>0</v>
      </c>
      <c r="W176" s="779"/>
    </row>
    <row r="177" spans="1:23" s="775" customFormat="1" ht="8.1" customHeight="1" x14ac:dyDescent="0.25">
      <c r="A177" s="1408" t="s">
        <v>1258</v>
      </c>
      <c r="B177" s="1473"/>
      <c r="C177" s="1474" t="s">
        <v>988</v>
      </c>
      <c r="D177" s="1421"/>
      <c r="E177" s="1421"/>
      <c r="F177" s="1421"/>
      <c r="G177" s="1475"/>
      <c r="H177" s="799" t="s">
        <v>970</v>
      </c>
      <c r="I177" s="1093"/>
      <c r="J177" s="810"/>
      <c r="K177" s="810"/>
      <c r="L177" s="810">
        <f t="shared" si="56"/>
        <v>0</v>
      </c>
      <c r="M177" s="810"/>
      <c r="N177" s="810">
        <f t="shared" si="57"/>
        <v>0</v>
      </c>
      <c r="O177" s="810"/>
      <c r="P177" s="810">
        <f t="shared" si="58"/>
        <v>0</v>
      </c>
      <c r="Q177" s="810"/>
      <c r="R177" s="810">
        <f t="shared" si="52"/>
        <v>0</v>
      </c>
      <c r="S177" s="810"/>
      <c r="T177" s="810">
        <f t="shared" si="53"/>
        <v>0</v>
      </c>
      <c r="U177" s="810"/>
      <c r="V177" s="810">
        <f t="shared" si="54"/>
        <v>0</v>
      </c>
      <c r="W177" s="779"/>
    </row>
    <row r="178" spans="1:23" s="775" customFormat="1" ht="16.5" customHeight="1" x14ac:dyDescent="0.25">
      <c r="A178" s="1408" t="s">
        <v>1259</v>
      </c>
      <c r="B178" s="1473"/>
      <c r="C178" s="1476" t="s">
        <v>1260</v>
      </c>
      <c r="D178" s="1411"/>
      <c r="E178" s="1411"/>
      <c r="F178" s="1411"/>
      <c r="G178" s="1477"/>
      <c r="H178" s="799" t="s">
        <v>970</v>
      </c>
      <c r="I178" s="1093">
        <f>I179</f>
        <v>0</v>
      </c>
      <c r="J178" s="810">
        <f t="shared" ref="J178:U178" si="59">J179</f>
        <v>0</v>
      </c>
      <c r="K178" s="810">
        <f t="shared" si="59"/>
        <v>0</v>
      </c>
      <c r="L178" s="810">
        <f t="shared" si="59"/>
        <v>0</v>
      </c>
      <c r="M178" s="810">
        <f t="shared" si="59"/>
        <v>0</v>
      </c>
      <c r="N178" s="810">
        <f t="shared" si="59"/>
        <v>0</v>
      </c>
      <c r="O178" s="810">
        <f t="shared" si="59"/>
        <v>0</v>
      </c>
      <c r="P178" s="810">
        <f t="shared" si="59"/>
        <v>0</v>
      </c>
      <c r="Q178" s="810">
        <f t="shared" si="59"/>
        <v>0</v>
      </c>
      <c r="R178" s="810">
        <f t="shared" si="59"/>
        <v>0</v>
      </c>
      <c r="S178" s="810">
        <f t="shared" si="59"/>
        <v>0</v>
      </c>
      <c r="T178" s="810">
        <f t="shared" si="59"/>
        <v>0</v>
      </c>
      <c r="U178" s="810">
        <f t="shared" si="59"/>
        <v>0</v>
      </c>
      <c r="V178" s="810">
        <f t="shared" si="54"/>
        <v>0</v>
      </c>
      <c r="W178" s="1094">
        <f>W179</f>
        <v>0</v>
      </c>
    </row>
    <row r="179" spans="1:23" s="775" customFormat="1" ht="8.1" customHeight="1" x14ac:dyDescent="0.25">
      <c r="A179" s="1408" t="s">
        <v>1261</v>
      </c>
      <c r="B179" s="1473"/>
      <c r="C179" s="1474" t="s">
        <v>1262</v>
      </c>
      <c r="D179" s="1421"/>
      <c r="E179" s="1421"/>
      <c r="F179" s="1421"/>
      <c r="G179" s="1475"/>
      <c r="H179" s="799" t="s">
        <v>970</v>
      </c>
      <c r="I179" s="1093"/>
      <c r="J179" s="810"/>
      <c r="K179" s="810"/>
      <c r="L179" s="810"/>
      <c r="M179" s="810"/>
      <c r="N179" s="810"/>
      <c r="O179" s="810"/>
      <c r="P179" s="810"/>
      <c r="Q179" s="810"/>
      <c r="R179" s="810"/>
      <c r="S179" s="810"/>
      <c r="T179" s="810"/>
      <c r="U179" s="810"/>
      <c r="V179" s="810"/>
      <c r="W179" s="779"/>
    </row>
    <row r="180" spans="1:23" s="775" customFormat="1" ht="8.1" customHeight="1" x14ac:dyDescent="0.25">
      <c r="A180" s="1408" t="s">
        <v>1263</v>
      </c>
      <c r="B180" s="1473"/>
      <c r="C180" s="1474" t="s">
        <v>1264</v>
      </c>
      <c r="D180" s="1421"/>
      <c r="E180" s="1421"/>
      <c r="F180" s="1421"/>
      <c r="G180" s="1475"/>
      <c r="H180" s="799" t="s">
        <v>970</v>
      </c>
      <c r="I180" s="1093"/>
      <c r="J180" s="810"/>
      <c r="K180" s="810"/>
      <c r="L180" s="810"/>
      <c r="M180" s="810"/>
      <c r="N180" s="810"/>
      <c r="O180" s="810"/>
      <c r="P180" s="810"/>
      <c r="Q180" s="810"/>
      <c r="R180" s="810"/>
      <c r="S180" s="810"/>
      <c r="T180" s="810"/>
      <c r="U180" s="810"/>
      <c r="V180" s="810"/>
      <c r="W180" s="779"/>
    </row>
    <row r="181" spans="1:23" s="775" customFormat="1" ht="8.1" customHeight="1" x14ac:dyDescent="0.25">
      <c r="A181" s="1408" t="s">
        <v>1265</v>
      </c>
      <c r="B181" s="1473"/>
      <c r="C181" s="1476" t="s">
        <v>1115</v>
      </c>
      <c r="D181" s="1411"/>
      <c r="E181" s="1411"/>
      <c r="F181" s="1411"/>
      <c r="G181" s="1477"/>
      <c r="H181" s="799" t="s">
        <v>970</v>
      </c>
      <c r="I181" s="1093">
        <f>I34</f>
        <v>76.73</v>
      </c>
      <c r="J181" s="810">
        <f t="shared" ref="J181:V181" si="60">J34</f>
        <v>64.977999999999994</v>
      </c>
      <c r="K181" s="810">
        <f t="shared" si="60"/>
        <v>70.664000000000001</v>
      </c>
      <c r="L181" s="810">
        <f t="shared" si="60"/>
        <v>0</v>
      </c>
      <c r="M181" s="810">
        <f t="shared" si="60"/>
        <v>0</v>
      </c>
      <c r="N181" s="810">
        <f t="shared" si="60"/>
        <v>0</v>
      </c>
      <c r="O181" s="810">
        <f t="shared" si="60"/>
        <v>54.030999999999999</v>
      </c>
      <c r="P181" s="810">
        <f t="shared" si="60"/>
        <v>0</v>
      </c>
      <c r="Q181" s="810">
        <f t="shared" si="60"/>
        <v>0</v>
      </c>
      <c r="R181" s="810">
        <f t="shared" si="60"/>
        <v>0</v>
      </c>
      <c r="S181" s="810">
        <f t="shared" si="60"/>
        <v>0</v>
      </c>
      <c r="T181" s="810">
        <f t="shared" si="60"/>
        <v>0</v>
      </c>
      <c r="U181" s="810">
        <f t="shared" si="60"/>
        <v>0</v>
      </c>
      <c r="V181" s="810">
        <f t="shared" si="60"/>
        <v>0</v>
      </c>
      <c r="W181" s="779"/>
    </row>
    <row r="182" spans="1:23" s="775" customFormat="1" ht="9" customHeight="1" x14ac:dyDescent="0.25">
      <c r="A182" s="1478" t="s">
        <v>1266</v>
      </c>
      <c r="B182" s="1479"/>
      <c r="C182" s="1480" t="s">
        <v>1267</v>
      </c>
      <c r="D182" s="1481"/>
      <c r="E182" s="1481"/>
      <c r="F182" s="1481"/>
      <c r="G182" s="1482"/>
      <c r="H182" s="799" t="s">
        <v>970</v>
      </c>
      <c r="I182" s="816">
        <f>I184+I191+I192+I193+I195+I196+I197+I198+I199+I189</f>
        <v>3178.826</v>
      </c>
      <c r="J182" s="817">
        <f t="shared" ref="J182:V182" si="61">J184+J191+J192+J193+J195+J196+J197+J198+J199+J189</f>
        <v>3251.2330000000002</v>
      </c>
      <c r="K182" s="817">
        <f t="shared" si="61"/>
        <v>3289.7420000000002</v>
      </c>
      <c r="L182" s="817">
        <f t="shared" si="61"/>
        <v>745.13599999999997</v>
      </c>
      <c r="M182" s="817">
        <f t="shared" si="61"/>
        <v>745.13599999999997</v>
      </c>
      <c r="N182" s="817">
        <f t="shared" si="61"/>
        <v>732.31100000000004</v>
      </c>
      <c r="O182" s="817">
        <f t="shared" si="61"/>
        <v>738.07299999999998</v>
      </c>
      <c r="P182" s="817">
        <f t="shared" si="61"/>
        <v>746.75300000000004</v>
      </c>
      <c r="Q182" s="817">
        <f t="shared" si="61"/>
        <v>743.71500000000003</v>
      </c>
      <c r="R182" s="817">
        <f t="shared" si="61"/>
        <v>761.58699999999999</v>
      </c>
      <c r="S182" s="817">
        <f t="shared" si="61"/>
        <v>761.58699999999999</v>
      </c>
      <c r="T182" s="817">
        <f t="shared" si="61"/>
        <v>776.75199999999995</v>
      </c>
      <c r="U182" s="817">
        <f>U184+U191+U192+U193+U195+U196+U197+U198+U199</f>
        <v>707.87300000000005</v>
      </c>
      <c r="V182" s="817">
        <f t="shared" si="61"/>
        <v>3762.5390000000002</v>
      </c>
      <c r="W182" s="818">
        <f>W184+W191+W192+W193+W195+W196+W197+W198+W199</f>
        <v>0</v>
      </c>
    </row>
    <row r="183" spans="1:23" s="775" customFormat="1" ht="8.1" customHeight="1" x14ac:dyDescent="0.25">
      <c r="A183" s="1408" t="s">
        <v>1268</v>
      </c>
      <c r="B183" s="1473"/>
      <c r="C183" s="1476" t="s">
        <v>1269</v>
      </c>
      <c r="D183" s="1411"/>
      <c r="E183" s="1411"/>
      <c r="F183" s="1411"/>
      <c r="G183" s="1477"/>
      <c r="H183" s="799" t="s">
        <v>970</v>
      </c>
      <c r="I183" s="1093"/>
      <c r="J183" s="810"/>
      <c r="K183" s="810"/>
      <c r="L183" s="810">
        <f>K183*104.4/100</f>
        <v>0</v>
      </c>
      <c r="M183" s="810"/>
      <c r="N183" s="810">
        <f>L183*104.2/100</f>
        <v>0</v>
      </c>
      <c r="O183" s="810"/>
      <c r="P183" s="810">
        <f>N183*104.1/100</f>
        <v>0</v>
      </c>
      <c r="Q183" s="810"/>
      <c r="R183" s="810">
        <f>P183*104.1/100</f>
        <v>0</v>
      </c>
      <c r="S183" s="810"/>
      <c r="T183" s="810">
        <f>P183*104.1/100</f>
        <v>0</v>
      </c>
      <c r="U183" s="810"/>
      <c r="V183" s="810">
        <f>L183+N183+P183</f>
        <v>0</v>
      </c>
      <c r="W183" s="779"/>
    </row>
    <row r="184" spans="1:23" s="775" customFormat="1" ht="8.1" customHeight="1" x14ac:dyDescent="0.25">
      <c r="A184" s="1408" t="s">
        <v>1270</v>
      </c>
      <c r="B184" s="1473"/>
      <c r="C184" s="1476" t="s">
        <v>1271</v>
      </c>
      <c r="D184" s="1411"/>
      <c r="E184" s="1411"/>
      <c r="F184" s="1411"/>
      <c r="G184" s="1477"/>
      <c r="H184" s="799" t="s">
        <v>970</v>
      </c>
      <c r="I184" s="816">
        <f>I186+I187</f>
        <v>551.99199999999996</v>
      </c>
      <c r="J184" s="817">
        <f t="shared" ref="J184:U184" si="62">J186+J187</f>
        <v>551.99199999999996</v>
      </c>
      <c r="K184" s="817">
        <f t="shared" si="62"/>
        <v>551.99199999999996</v>
      </c>
      <c r="L184" s="817">
        <f t="shared" si="62"/>
        <v>0</v>
      </c>
      <c r="M184" s="817">
        <f t="shared" si="62"/>
        <v>0</v>
      </c>
      <c r="N184" s="817">
        <f t="shared" si="62"/>
        <v>0</v>
      </c>
      <c r="O184" s="817">
        <f t="shared" si="62"/>
        <v>0</v>
      </c>
      <c r="P184" s="817">
        <f t="shared" si="62"/>
        <v>0</v>
      </c>
      <c r="Q184" s="817">
        <f t="shared" si="62"/>
        <v>0</v>
      </c>
      <c r="R184" s="817">
        <f t="shared" si="62"/>
        <v>0</v>
      </c>
      <c r="S184" s="817">
        <f t="shared" si="62"/>
        <v>0</v>
      </c>
      <c r="T184" s="817">
        <f t="shared" si="62"/>
        <v>0</v>
      </c>
      <c r="U184" s="817">
        <f t="shared" si="62"/>
        <v>0</v>
      </c>
      <c r="V184" s="817">
        <f t="shared" ref="V184:W186" si="63">V185</f>
        <v>0</v>
      </c>
      <c r="W184" s="819">
        <f t="shared" si="63"/>
        <v>0</v>
      </c>
    </row>
    <row r="185" spans="1:23" s="775" customFormat="1" ht="8.1" customHeight="1" x14ac:dyDescent="0.25">
      <c r="A185" s="1408" t="s">
        <v>1272</v>
      </c>
      <c r="B185" s="1473"/>
      <c r="C185" s="1474" t="s">
        <v>1273</v>
      </c>
      <c r="D185" s="1421"/>
      <c r="E185" s="1421"/>
      <c r="F185" s="1421"/>
      <c r="G185" s="1475"/>
      <c r="H185" s="799" t="s">
        <v>970</v>
      </c>
      <c r="I185" s="1093"/>
      <c r="J185" s="810"/>
      <c r="K185" s="810"/>
      <c r="L185" s="810"/>
      <c r="M185" s="810"/>
      <c r="N185" s="810"/>
      <c r="O185" s="810"/>
      <c r="P185" s="810"/>
      <c r="Q185" s="810"/>
      <c r="R185" s="810"/>
      <c r="S185" s="810"/>
      <c r="T185" s="810"/>
      <c r="U185" s="810"/>
      <c r="V185" s="817">
        <f t="shared" si="63"/>
        <v>0</v>
      </c>
      <c r="W185" s="779"/>
    </row>
    <row r="186" spans="1:23" s="775" customFormat="1" ht="8.1" customHeight="1" x14ac:dyDescent="0.25">
      <c r="A186" s="1408" t="s">
        <v>1274</v>
      </c>
      <c r="B186" s="1473"/>
      <c r="C186" s="1474" t="s">
        <v>1275</v>
      </c>
      <c r="D186" s="1421"/>
      <c r="E186" s="1421"/>
      <c r="F186" s="1421"/>
      <c r="G186" s="1475"/>
      <c r="H186" s="799" t="s">
        <v>970</v>
      </c>
      <c r="I186" s="1093"/>
      <c r="J186" s="810"/>
      <c r="K186" s="810"/>
      <c r="L186" s="810"/>
      <c r="M186" s="810"/>
      <c r="N186" s="810"/>
      <c r="O186" s="810"/>
      <c r="P186" s="810"/>
      <c r="Q186" s="810"/>
      <c r="R186" s="810"/>
      <c r="S186" s="810"/>
      <c r="T186" s="810"/>
      <c r="U186" s="810"/>
      <c r="V186" s="817">
        <f t="shared" si="63"/>
        <v>0</v>
      </c>
      <c r="W186" s="779"/>
    </row>
    <row r="187" spans="1:23" s="775" customFormat="1" ht="8.1" customHeight="1" x14ac:dyDescent="0.25">
      <c r="A187" s="1408" t="s">
        <v>1276</v>
      </c>
      <c r="B187" s="1473"/>
      <c r="C187" s="1474" t="s">
        <v>1277</v>
      </c>
      <c r="D187" s="1421"/>
      <c r="E187" s="1421"/>
      <c r="F187" s="1421"/>
      <c r="G187" s="1475"/>
      <c r="H187" s="820" t="s">
        <v>970</v>
      </c>
      <c r="I187" s="821">
        <f>651.35/1.18</f>
        <v>551.99199999999996</v>
      </c>
      <c r="J187" s="821">
        <f>651.35/1.18</f>
        <v>551.99199999999996</v>
      </c>
      <c r="K187" s="821">
        <f>651.35/1.18</f>
        <v>551.99199999999996</v>
      </c>
      <c r="L187" s="810"/>
      <c r="M187" s="810"/>
      <c r="N187" s="810"/>
      <c r="O187" s="810"/>
      <c r="P187" s="810"/>
      <c r="Q187" s="810"/>
      <c r="R187" s="810"/>
      <c r="S187" s="810"/>
      <c r="T187" s="810"/>
      <c r="U187" s="810">
        <f>U54</f>
        <v>0</v>
      </c>
      <c r="V187" s="810">
        <f t="shared" ref="V187:V199" si="64">L187+N187+P187+R187+T187</f>
        <v>0</v>
      </c>
      <c r="W187" s="779"/>
    </row>
    <row r="188" spans="1:23" s="775" customFormat="1" ht="16.5" customHeight="1" x14ac:dyDescent="0.25">
      <c r="A188" s="1408" t="s">
        <v>1278</v>
      </c>
      <c r="B188" s="1473"/>
      <c r="C188" s="1476" t="s">
        <v>1279</v>
      </c>
      <c r="D188" s="1411"/>
      <c r="E188" s="1411"/>
      <c r="F188" s="1411"/>
      <c r="G188" s="1477"/>
      <c r="H188" s="820" t="s">
        <v>970</v>
      </c>
      <c r="I188" s="821"/>
      <c r="J188" s="821"/>
      <c r="K188" s="821"/>
      <c r="L188" s="810"/>
      <c r="M188" s="810"/>
      <c r="N188" s="810"/>
      <c r="O188" s="810"/>
      <c r="P188" s="810"/>
      <c r="Q188" s="810"/>
      <c r="R188" s="810"/>
      <c r="S188" s="810"/>
      <c r="T188" s="810"/>
      <c r="U188" s="810">
        <f>U55</f>
        <v>0</v>
      </c>
      <c r="V188" s="810">
        <f t="shared" si="64"/>
        <v>0</v>
      </c>
      <c r="W188" s="779"/>
    </row>
    <row r="189" spans="1:23" s="775" customFormat="1" ht="16.5" customHeight="1" x14ac:dyDescent="0.25">
      <c r="A189" s="1408" t="s">
        <v>1280</v>
      </c>
      <c r="B189" s="1473"/>
      <c r="C189" s="1476" t="s">
        <v>1281</v>
      </c>
      <c r="D189" s="1411"/>
      <c r="E189" s="1411"/>
      <c r="F189" s="1411"/>
      <c r="G189" s="1477"/>
      <c r="H189" s="820" t="s">
        <v>970</v>
      </c>
      <c r="I189" s="821">
        <f>2468.63/1.18</f>
        <v>2092.0590000000002</v>
      </c>
      <c r="J189" s="821">
        <f>2468.63/1.18</f>
        <v>2092.0590000000002</v>
      </c>
      <c r="K189" s="821">
        <f>2468.63/1.18</f>
        <v>2092.0590000000002</v>
      </c>
      <c r="L189" s="810">
        <f>L61</f>
        <v>58.923000000000002</v>
      </c>
      <c r="M189" s="810">
        <f t="shared" ref="M189:T189" si="65">M61</f>
        <v>58.923000000000002</v>
      </c>
      <c r="N189" s="810">
        <f t="shared" si="65"/>
        <v>61.667000000000002</v>
      </c>
      <c r="O189" s="810">
        <f t="shared" si="65"/>
        <v>74.786000000000001</v>
      </c>
      <c r="P189" s="810">
        <f t="shared" si="65"/>
        <v>63.933999999999997</v>
      </c>
      <c r="Q189" s="810">
        <f t="shared" si="65"/>
        <v>63.981000000000002</v>
      </c>
      <c r="R189" s="810">
        <f t="shared" si="65"/>
        <v>66.36</v>
      </c>
      <c r="S189" s="810">
        <f t="shared" si="65"/>
        <v>66.36</v>
      </c>
      <c r="T189" s="810">
        <f t="shared" si="65"/>
        <v>68.879000000000005</v>
      </c>
      <c r="U189" s="810">
        <f>T189</f>
        <v>68.879000000000005</v>
      </c>
      <c r="V189" s="810">
        <f t="shared" si="64"/>
        <v>319.76299999999998</v>
      </c>
      <c r="W189" s="779"/>
    </row>
    <row r="190" spans="1:23" s="775" customFormat="1" ht="8.1" customHeight="1" x14ac:dyDescent="0.25">
      <c r="A190" s="1408" t="s">
        <v>1282</v>
      </c>
      <c r="B190" s="1473"/>
      <c r="C190" s="1476" t="s">
        <v>1283</v>
      </c>
      <c r="D190" s="1411"/>
      <c r="E190" s="1411"/>
      <c r="F190" s="1411"/>
      <c r="G190" s="1477"/>
      <c r="H190" s="799" t="s">
        <v>970</v>
      </c>
      <c r="I190" s="1093"/>
      <c r="J190" s="810"/>
      <c r="K190" s="810"/>
      <c r="L190" s="810">
        <f>K190*104.4/100</f>
        <v>0</v>
      </c>
      <c r="M190" s="810"/>
      <c r="N190" s="810">
        <f>L190*104.2/100</f>
        <v>0</v>
      </c>
      <c r="O190" s="810"/>
      <c r="P190" s="810">
        <f>N190*104.1/100</f>
        <v>0</v>
      </c>
      <c r="Q190" s="810"/>
      <c r="R190" s="810">
        <f>P190*104.1/100</f>
        <v>0</v>
      </c>
      <c r="S190" s="810"/>
      <c r="T190" s="810">
        <f>P190*104.1/100</f>
        <v>0</v>
      </c>
      <c r="U190" s="810">
        <f t="shared" ref="U190:U206" si="66">T190</f>
        <v>0</v>
      </c>
      <c r="V190" s="810">
        <f t="shared" si="64"/>
        <v>0</v>
      </c>
      <c r="W190" s="779"/>
    </row>
    <row r="191" spans="1:23" s="775" customFormat="1" ht="8.1" customHeight="1" x14ac:dyDescent="0.25">
      <c r="A191" s="1408" t="s">
        <v>1284</v>
      </c>
      <c r="B191" s="1473"/>
      <c r="C191" s="1476" t="s">
        <v>1285</v>
      </c>
      <c r="D191" s="1411"/>
      <c r="E191" s="1411"/>
      <c r="F191" s="1411"/>
      <c r="G191" s="1477"/>
      <c r="H191" s="820" t="s">
        <v>970</v>
      </c>
      <c r="I191" s="821">
        <f>I65/1.304</f>
        <v>284.048</v>
      </c>
      <c r="J191" s="821">
        <f t="shared" ref="J191:T191" si="67">J65/1.304</f>
        <v>318.23200000000003</v>
      </c>
      <c r="K191" s="821">
        <f t="shared" si="67"/>
        <v>341.005</v>
      </c>
      <c r="L191" s="810">
        <f t="shared" si="67"/>
        <v>365.14499999999998</v>
      </c>
      <c r="M191" s="810">
        <f t="shared" si="67"/>
        <v>365.14499999999998</v>
      </c>
      <c r="N191" s="810">
        <f t="shared" si="67"/>
        <v>379.74</v>
      </c>
      <c r="O191" s="810">
        <f t="shared" si="67"/>
        <v>376.32499999999999</v>
      </c>
      <c r="P191" s="810">
        <f t="shared" si="67"/>
        <v>387.03100000000001</v>
      </c>
      <c r="Q191" s="810">
        <f t="shared" si="67"/>
        <v>384.26299999999998</v>
      </c>
      <c r="R191" s="810">
        <f t="shared" si="67"/>
        <v>394.46199999999999</v>
      </c>
      <c r="S191" s="810">
        <f t="shared" si="67"/>
        <v>394.46199999999999</v>
      </c>
      <c r="T191" s="810">
        <f t="shared" si="67"/>
        <v>402.036</v>
      </c>
      <c r="U191" s="810">
        <f t="shared" si="66"/>
        <v>402.036</v>
      </c>
      <c r="V191" s="810">
        <f t="shared" si="64"/>
        <v>1928.414</v>
      </c>
      <c r="W191" s="779"/>
    </row>
    <row r="192" spans="1:23" s="775" customFormat="1" ht="8.1" customHeight="1" x14ac:dyDescent="0.25">
      <c r="A192" s="1408" t="s">
        <v>1286</v>
      </c>
      <c r="B192" s="1473"/>
      <c r="C192" s="1476" t="s">
        <v>1287</v>
      </c>
      <c r="D192" s="1411"/>
      <c r="E192" s="1411"/>
      <c r="F192" s="1411"/>
      <c r="G192" s="1477"/>
      <c r="H192" s="820" t="s">
        <v>970</v>
      </c>
      <c r="I192" s="821">
        <f>I191*0.304</f>
        <v>86.350999999999999</v>
      </c>
      <c r="J192" s="821">
        <f t="shared" ref="J192:T192" si="68">J191*0.304</f>
        <v>96.742999999999995</v>
      </c>
      <c r="K192" s="821">
        <f t="shared" si="68"/>
        <v>103.666</v>
      </c>
      <c r="L192" s="810">
        <f t="shared" si="68"/>
        <v>111.004</v>
      </c>
      <c r="M192" s="810">
        <f t="shared" si="68"/>
        <v>111.004</v>
      </c>
      <c r="N192" s="810">
        <f t="shared" si="68"/>
        <v>115.441</v>
      </c>
      <c r="O192" s="810">
        <f t="shared" si="68"/>
        <v>114.40300000000001</v>
      </c>
      <c r="P192" s="810">
        <f t="shared" si="68"/>
        <v>117.657</v>
      </c>
      <c r="Q192" s="810">
        <f t="shared" si="68"/>
        <v>116.816</v>
      </c>
      <c r="R192" s="810">
        <f t="shared" si="68"/>
        <v>119.916</v>
      </c>
      <c r="S192" s="810">
        <f t="shared" si="68"/>
        <v>119.916</v>
      </c>
      <c r="T192" s="810">
        <f t="shared" si="68"/>
        <v>122.21899999999999</v>
      </c>
      <c r="U192" s="810">
        <f t="shared" si="66"/>
        <v>122.21899999999999</v>
      </c>
      <c r="V192" s="810">
        <f t="shared" si="64"/>
        <v>586.23699999999997</v>
      </c>
      <c r="W192" s="779"/>
    </row>
    <row r="193" spans="1:23" s="775" customFormat="1" ht="8.1" customHeight="1" x14ac:dyDescent="0.25">
      <c r="A193" s="1408" t="s">
        <v>1288</v>
      </c>
      <c r="B193" s="1473"/>
      <c r="C193" s="1476" t="s">
        <v>1289</v>
      </c>
      <c r="D193" s="1411"/>
      <c r="E193" s="1411"/>
      <c r="F193" s="1411"/>
      <c r="G193" s="1477"/>
      <c r="H193" s="820" t="s">
        <v>970</v>
      </c>
      <c r="I193" s="821">
        <f>I67</f>
        <v>27.428999999999998</v>
      </c>
      <c r="J193" s="821">
        <f t="shared" ref="J193:T193" si="69">J67</f>
        <v>32.067999999999998</v>
      </c>
      <c r="K193" s="821">
        <f t="shared" si="69"/>
        <v>31.652000000000001</v>
      </c>
      <c r="L193" s="810">
        <f t="shared" si="69"/>
        <v>32.377000000000002</v>
      </c>
      <c r="M193" s="810">
        <f t="shared" si="69"/>
        <v>32.377000000000002</v>
      </c>
      <c r="N193" s="810">
        <f t="shared" si="69"/>
        <v>32.377000000000002</v>
      </c>
      <c r="O193" s="810">
        <f t="shared" si="69"/>
        <v>30.881</v>
      </c>
      <c r="P193" s="810">
        <f t="shared" si="69"/>
        <v>32.377000000000002</v>
      </c>
      <c r="Q193" s="810">
        <f t="shared" si="69"/>
        <v>33.076999999999998</v>
      </c>
      <c r="R193" s="810">
        <f t="shared" si="69"/>
        <v>32.377000000000002</v>
      </c>
      <c r="S193" s="810">
        <f t="shared" si="69"/>
        <v>32.377000000000002</v>
      </c>
      <c r="T193" s="810">
        <f t="shared" si="69"/>
        <v>32.377000000000002</v>
      </c>
      <c r="U193" s="810">
        <f t="shared" si="66"/>
        <v>32.377000000000002</v>
      </c>
      <c r="V193" s="810">
        <f t="shared" si="64"/>
        <v>161.88499999999999</v>
      </c>
      <c r="W193" s="1094">
        <f>W194</f>
        <v>0</v>
      </c>
    </row>
    <row r="194" spans="1:23" s="775" customFormat="1" ht="8.1" customHeight="1" x14ac:dyDescent="0.25">
      <c r="A194" s="1408" t="s">
        <v>1290</v>
      </c>
      <c r="B194" s="1473"/>
      <c r="C194" s="1474" t="s">
        <v>1291</v>
      </c>
      <c r="D194" s="1421"/>
      <c r="E194" s="1421"/>
      <c r="F194" s="1421"/>
      <c r="G194" s="1475"/>
      <c r="H194" s="799" t="s">
        <v>970</v>
      </c>
      <c r="I194" s="1093"/>
      <c r="J194" s="810"/>
      <c r="K194" s="810"/>
      <c r="L194" s="810"/>
      <c r="M194" s="810"/>
      <c r="N194" s="810"/>
      <c r="O194" s="810"/>
      <c r="P194" s="810"/>
      <c r="Q194" s="810"/>
      <c r="R194" s="810"/>
      <c r="S194" s="810"/>
      <c r="T194" s="810"/>
      <c r="U194" s="810">
        <f t="shared" si="66"/>
        <v>0</v>
      </c>
      <c r="V194" s="810">
        <f t="shared" si="64"/>
        <v>0</v>
      </c>
      <c r="W194" s="779"/>
    </row>
    <row r="195" spans="1:23" s="775" customFormat="1" ht="8.1" customHeight="1" x14ac:dyDescent="0.25">
      <c r="A195" s="1408" t="s">
        <v>1292</v>
      </c>
      <c r="B195" s="1473"/>
      <c r="C195" s="1476" t="s">
        <v>1293</v>
      </c>
      <c r="D195" s="1411"/>
      <c r="E195" s="1411"/>
      <c r="F195" s="1411"/>
      <c r="G195" s="1477"/>
      <c r="H195" s="820" t="s">
        <v>970</v>
      </c>
      <c r="I195" s="821">
        <f>I57</f>
        <v>49.52</v>
      </c>
      <c r="J195" s="821">
        <f t="shared" ref="J195:T195" si="70">J57</f>
        <v>25.158999999999999</v>
      </c>
      <c r="K195" s="821">
        <f t="shared" si="70"/>
        <v>61.027999999999999</v>
      </c>
      <c r="L195" s="810">
        <f t="shared" si="70"/>
        <v>61.012</v>
      </c>
      <c r="M195" s="810">
        <f t="shared" si="70"/>
        <v>61.012</v>
      </c>
      <c r="N195" s="810">
        <f t="shared" si="70"/>
        <v>63.451000000000001</v>
      </c>
      <c r="O195" s="810">
        <f t="shared" si="70"/>
        <v>62.881</v>
      </c>
      <c r="P195" s="810">
        <f t="shared" si="70"/>
        <v>64.67</v>
      </c>
      <c r="Q195" s="810">
        <f t="shared" si="70"/>
        <v>64.206999999999994</v>
      </c>
      <c r="R195" s="810">
        <f t="shared" si="70"/>
        <v>65.911000000000001</v>
      </c>
      <c r="S195" s="810">
        <f t="shared" si="70"/>
        <v>65.911000000000001</v>
      </c>
      <c r="T195" s="810">
        <f t="shared" si="70"/>
        <v>67.174000000000007</v>
      </c>
      <c r="U195" s="810">
        <f t="shared" si="66"/>
        <v>67.174000000000007</v>
      </c>
      <c r="V195" s="810">
        <f t="shared" si="64"/>
        <v>322.21800000000002</v>
      </c>
      <c r="W195" s="779"/>
    </row>
    <row r="196" spans="1:23" s="775" customFormat="1" ht="8.1" customHeight="1" x14ac:dyDescent="0.25">
      <c r="A196" s="1408" t="s">
        <v>1294</v>
      </c>
      <c r="B196" s="1473"/>
      <c r="C196" s="1476" t="s">
        <v>1295</v>
      </c>
      <c r="D196" s="1411"/>
      <c r="E196" s="1411"/>
      <c r="F196" s="1411"/>
      <c r="G196" s="1477"/>
      <c r="H196" s="799" t="s">
        <v>970</v>
      </c>
      <c r="I196" s="1093"/>
      <c r="J196" s="810"/>
      <c r="K196" s="810"/>
      <c r="L196" s="810"/>
      <c r="M196" s="810"/>
      <c r="N196" s="810"/>
      <c r="O196" s="810"/>
      <c r="P196" s="810"/>
      <c r="Q196" s="810"/>
      <c r="R196" s="810"/>
      <c r="S196" s="810"/>
      <c r="T196" s="810"/>
      <c r="U196" s="810">
        <f t="shared" si="66"/>
        <v>0</v>
      </c>
      <c r="V196" s="810">
        <f t="shared" si="64"/>
        <v>0</v>
      </c>
      <c r="W196" s="779"/>
    </row>
    <row r="197" spans="1:23" s="775" customFormat="1" ht="8.1" customHeight="1" x14ac:dyDescent="0.25">
      <c r="A197" s="1408" t="s">
        <v>1296</v>
      </c>
      <c r="B197" s="1473"/>
      <c r="C197" s="1476" t="s">
        <v>1297</v>
      </c>
      <c r="D197" s="1411"/>
      <c r="E197" s="1411"/>
      <c r="F197" s="1411"/>
      <c r="G197" s="1477"/>
      <c r="H197" s="820" t="s">
        <v>970</v>
      </c>
      <c r="I197" s="821">
        <f>I72</f>
        <v>2.19</v>
      </c>
      <c r="J197" s="821">
        <f t="shared" ref="J197:T197" si="71">J72</f>
        <v>21.72</v>
      </c>
      <c r="K197" s="821">
        <f t="shared" si="71"/>
        <v>3.0459999999999998</v>
      </c>
      <c r="L197" s="810">
        <f t="shared" si="71"/>
        <v>1.8140000000000001</v>
      </c>
      <c r="M197" s="810">
        <f t="shared" si="71"/>
        <v>1.8140000000000001</v>
      </c>
      <c r="N197" s="810">
        <f t="shared" si="71"/>
        <v>1.8140000000000001</v>
      </c>
      <c r="O197" s="810">
        <f t="shared" si="71"/>
        <v>3.0459999999999998</v>
      </c>
      <c r="P197" s="810">
        <f t="shared" si="71"/>
        <v>1.887</v>
      </c>
      <c r="Q197" s="810">
        <f t="shared" si="71"/>
        <v>2.4350000000000001</v>
      </c>
      <c r="R197" s="810">
        <f t="shared" si="71"/>
        <v>1.962</v>
      </c>
      <c r="S197" s="810">
        <f t="shared" si="71"/>
        <v>1.962</v>
      </c>
      <c r="T197" s="810">
        <f t="shared" si="71"/>
        <v>2.04</v>
      </c>
      <c r="U197" s="810">
        <f t="shared" si="66"/>
        <v>2.04</v>
      </c>
      <c r="V197" s="810">
        <f t="shared" si="64"/>
        <v>9.5169999999999995</v>
      </c>
      <c r="W197" s="779"/>
    </row>
    <row r="198" spans="1:23" s="775" customFormat="1" ht="16.5" customHeight="1" x14ac:dyDescent="0.25">
      <c r="A198" s="1408" t="s">
        <v>1298</v>
      </c>
      <c r="B198" s="1473"/>
      <c r="C198" s="1476" t="s">
        <v>1299</v>
      </c>
      <c r="D198" s="1411"/>
      <c r="E198" s="1411"/>
      <c r="F198" s="1411"/>
      <c r="G198" s="1477"/>
      <c r="H198" s="799" t="s">
        <v>970</v>
      </c>
      <c r="I198" s="1093"/>
      <c r="J198" s="810"/>
      <c r="K198" s="810"/>
      <c r="L198" s="810"/>
      <c r="M198" s="810"/>
      <c r="N198" s="810">
        <f>L198*104.2/100</f>
        <v>0</v>
      </c>
      <c r="O198" s="810"/>
      <c r="P198" s="810">
        <f>N198*104.1/100</f>
        <v>0</v>
      </c>
      <c r="Q198" s="810"/>
      <c r="R198" s="810">
        <f t="shared" ref="R198:R206" si="72">P198*104.1/100</f>
        <v>0</v>
      </c>
      <c r="S198" s="810"/>
      <c r="T198" s="810">
        <f t="shared" ref="T198:T206" si="73">P198*104.1/100</f>
        <v>0</v>
      </c>
      <c r="U198" s="810">
        <f t="shared" si="66"/>
        <v>0</v>
      </c>
      <c r="V198" s="810">
        <f t="shared" si="64"/>
        <v>0</v>
      </c>
      <c r="W198" s="779"/>
    </row>
    <row r="199" spans="1:23" s="775" customFormat="1" ht="8.1" customHeight="1" x14ac:dyDescent="0.25">
      <c r="A199" s="1408" t="s">
        <v>1300</v>
      </c>
      <c r="B199" s="1473"/>
      <c r="C199" s="1476" t="s">
        <v>1301</v>
      </c>
      <c r="D199" s="1411"/>
      <c r="E199" s="1411"/>
      <c r="F199" s="1411"/>
      <c r="G199" s="1477"/>
      <c r="H199" s="820" t="s">
        <v>970</v>
      </c>
      <c r="I199" s="821">
        <f>I73</f>
        <v>85.236999999999995</v>
      </c>
      <c r="J199" s="821">
        <f t="shared" ref="J199:T199" si="74">J73</f>
        <v>113.26</v>
      </c>
      <c r="K199" s="821">
        <f t="shared" si="74"/>
        <v>105.294</v>
      </c>
      <c r="L199" s="810">
        <f t="shared" si="74"/>
        <v>114.861</v>
      </c>
      <c r="M199" s="810">
        <f t="shared" si="74"/>
        <v>114.861</v>
      </c>
      <c r="N199" s="810">
        <f t="shared" si="74"/>
        <v>77.820999999999998</v>
      </c>
      <c r="O199" s="810">
        <f t="shared" si="74"/>
        <v>75.751000000000005</v>
      </c>
      <c r="P199" s="810">
        <f t="shared" si="74"/>
        <v>79.197000000000003</v>
      </c>
      <c r="Q199" s="810">
        <f t="shared" si="74"/>
        <v>78.936000000000007</v>
      </c>
      <c r="R199" s="810">
        <f t="shared" si="74"/>
        <v>80.599000000000004</v>
      </c>
      <c r="S199" s="810">
        <f t="shared" si="74"/>
        <v>80.599000000000004</v>
      </c>
      <c r="T199" s="810">
        <f t="shared" si="74"/>
        <v>82.027000000000001</v>
      </c>
      <c r="U199" s="810">
        <f t="shared" si="66"/>
        <v>82.027000000000001</v>
      </c>
      <c r="V199" s="810">
        <f t="shared" si="64"/>
        <v>434.505</v>
      </c>
      <c r="W199" s="779"/>
    </row>
    <row r="200" spans="1:23" s="775" customFormat="1" ht="9" customHeight="1" x14ac:dyDescent="0.25">
      <c r="A200" s="1478" t="s">
        <v>1302</v>
      </c>
      <c r="B200" s="1479"/>
      <c r="C200" s="1480" t="s">
        <v>1303</v>
      </c>
      <c r="D200" s="1481"/>
      <c r="E200" s="1481"/>
      <c r="F200" s="1481"/>
      <c r="G200" s="1482"/>
      <c r="H200" s="799" t="s">
        <v>970</v>
      </c>
      <c r="I200" s="1093"/>
      <c r="J200" s="810"/>
      <c r="K200" s="810"/>
      <c r="L200" s="810"/>
      <c r="M200" s="810"/>
      <c r="N200" s="810">
        <f t="shared" ref="N200:N206" si="75">L200*104.2/100</f>
        <v>0</v>
      </c>
      <c r="O200" s="810"/>
      <c r="P200" s="810">
        <f t="shared" ref="P200:P206" si="76">N200*104.1/100</f>
        <v>0</v>
      </c>
      <c r="Q200" s="810"/>
      <c r="R200" s="810">
        <f t="shared" si="72"/>
        <v>0</v>
      </c>
      <c r="S200" s="810"/>
      <c r="T200" s="810">
        <f t="shared" si="73"/>
        <v>0</v>
      </c>
      <c r="U200" s="810">
        <f t="shared" si="66"/>
        <v>0</v>
      </c>
      <c r="V200" s="810">
        <f t="shared" ref="V200:V206" si="77">L200+N200+P200</f>
        <v>0</v>
      </c>
      <c r="W200" s="779"/>
    </row>
    <row r="201" spans="1:23" s="775" customFormat="1" ht="8.1" customHeight="1" x14ac:dyDescent="0.25">
      <c r="A201" s="1408" t="s">
        <v>1304</v>
      </c>
      <c r="B201" s="1473"/>
      <c r="C201" s="1476" t="s">
        <v>1305</v>
      </c>
      <c r="D201" s="1411"/>
      <c r="E201" s="1411"/>
      <c r="F201" s="1411"/>
      <c r="G201" s="1477"/>
      <c r="H201" s="799" t="s">
        <v>970</v>
      </c>
      <c r="I201" s="1093"/>
      <c r="J201" s="810"/>
      <c r="K201" s="810"/>
      <c r="L201" s="810">
        <f t="shared" ref="L201:L206" si="78">K201*104.4/100</f>
        <v>0</v>
      </c>
      <c r="M201" s="810"/>
      <c r="N201" s="810">
        <f t="shared" si="75"/>
        <v>0</v>
      </c>
      <c r="O201" s="810"/>
      <c r="P201" s="810">
        <f t="shared" si="76"/>
        <v>0</v>
      </c>
      <c r="Q201" s="810"/>
      <c r="R201" s="810">
        <f t="shared" si="72"/>
        <v>0</v>
      </c>
      <c r="S201" s="810"/>
      <c r="T201" s="810">
        <f t="shared" si="73"/>
        <v>0</v>
      </c>
      <c r="U201" s="810">
        <f t="shared" si="66"/>
        <v>0</v>
      </c>
      <c r="V201" s="810">
        <f t="shared" si="77"/>
        <v>0</v>
      </c>
      <c r="W201" s="779"/>
    </row>
    <row r="202" spans="1:23" s="775" customFormat="1" ht="8.1" customHeight="1" x14ac:dyDescent="0.25">
      <c r="A202" s="1408" t="s">
        <v>1306</v>
      </c>
      <c r="B202" s="1473"/>
      <c r="C202" s="1476" t="s">
        <v>1307</v>
      </c>
      <c r="D202" s="1411"/>
      <c r="E202" s="1411"/>
      <c r="F202" s="1411"/>
      <c r="G202" s="1477"/>
      <c r="H202" s="799" t="s">
        <v>970</v>
      </c>
      <c r="I202" s="1093"/>
      <c r="J202" s="810"/>
      <c r="K202" s="810"/>
      <c r="L202" s="810">
        <f t="shared" si="78"/>
        <v>0</v>
      </c>
      <c r="M202" s="810"/>
      <c r="N202" s="810">
        <f t="shared" si="75"/>
        <v>0</v>
      </c>
      <c r="O202" s="810"/>
      <c r="P202" s="810">
        <f t="shared" si="76"/>
        <v>0</v>
      </c>
      <c r="Q202" s="810"/>
      <c r="R202" s="810">
        <f t="shared" si="72"/>
        <v>0</v>
      </c>
      <c r="S202" s="810"/>
      <c r="T202" s="810">
        <f t="shared" si="73"/>
        <v>0</v>
      </c>
      <c r="U202" s="810">
        <f t="shared" si="66"/>
        <v>0</v>
      </c>
      <c r="V202" s="810">
        <f t="shared" si="77"/>
        <v>0</v>
      </c>
      <c r="W202" s="779"/>
    </row>
    <row r="203" spans="1:23" s="775" customFormat="1" ht="16.5" customHeight="1" x14ac:dyDescent="0.25">
      <c r="A203" s="1408" t="s">
        <v>1308</v>
      </c>
      <c r="B203" s="1473"/>
      <c r="C203" s="1474" t="s">
        <v>1309</v>
      </c>
      <c r="D203" s="1421"/>
      <c r="E203" s="1421"/>
      <c r="F203" s="1421"/>
      <c r="G203" s="1475"/>
      <c r="H203" s="799" t="s">
        <v>970</v>
      </c>
      <c r="I203" s="1093"/>
      <c r="J203" s="810"/>
      <c r="K203" s="810"/>
      <c r="L203" s="810">
        <f t="shared" si="78"/>
        <v>0</v>
      </c>
      <c r="M203" s="810"/>
      <c r="N203" s="810">
        <f t="shared" si="75"/>
        <v>0</v>
      </c>
      <c r="O203" s="810"/>
      <c r="P203" s="810">
        <f t="shared" si="76"/>
        <v>0</v>
      </c>
      <c r="Q203" s="810"/>
      <c r="R203" s="810">
        <f t="shared" si="72"/>
        <v>0</v>
      </c>
      <c r="S203" s="810"/>
      <c r="T203" s="810">
        <f t="shared" si="73"/>
        <v>0</v>
      </c>
      <c r="U203" s="810">
        <f t="shared" si="66"/>
        <v>0</v>
      </c>
      <c r="V203" s="810">
        <f t="shared" si="77"/>
        <v>0</v>
      </c>
      <c r="W203" s="779"/>
    </row>
    <row r="204" spans="1:23" s="775" customFormat="1" ht="8.1" customHeight="1" x14ac:dyDescent="0.25">
      <c r="A204" s="1408" t="s">
        <v>1310</v>
      </c>
      <c r="B204" s="1473"/>
      <c r="C204" s="1483" t="s">
        <v>1027</v>
      </c>
      <c r="D204" s="1425"/>
      <c r="E204" s="1425"/>
      <c r="F204" s="1425"/>
      <c r="G204" s="1484"/>
      <c r="H204" s="799" t="s">
        <v>970</v>
      </c>
      <c r="I204" s="1093"/>
      <c r="J204" s="810"/>
      <c r="K204" s="810"/>
      <c r="L204" s="810">
        <f t="shared" si="78"/>
        <v>0</v>
      </c>
      <c r="M204" s="810"/>
      <c r="N204" s="810">
        <f t="shared" si="75"/>
        <v>0</v>
      </c>
      <c r="O204" s="810"/>
      <c r="P204" s="810">
        <f t="shared" si="76"/>
        <v>0</v>
      </c>
      <c r="Q204" s="810"/>
      <c r="R204" s="810">
        <f t="shared" si="72"/>
        <v>0</v>
      </c>
      <c r="S204" s="810"/>
      <c r="T204" s="810">
        <f t="shared" si="73"/>
        <v>0</v>
      </c>
      <c r="U204" s="810">
        <f t="shared" si="66"/>
        <v>0</v>
      </c>
      <c r="V204" s="810">
        <f t="shared" si="77"/>
        <v>0</v>
      </c>
      <c r="W204" s="779"/>
    </row>
    <row r="205" spans="1:23" s="775" customFormat="1" ht="8.1" customHeight="1" x14ac:dyDescent="0.25">
      <c r="A205" s="1408" t="s">
        <v>1311</v>
      </c>
      <c r="B205" s="1473"/>
      <c r="C205" s="1483" t="s">
        <v>1312</v>
      </c>
      <c r="D205" s="1425"/>
      <c r="E205" s="1425"/>
      <c r="F205" s="1425"/>
      <c r="G205" s="1484"/>
      <c r="H205" s="799" t="s">
        <v>970</v>
      </c>
      <c r="I205" s="1093"/>
      <c r="J205" s="810"/>
      <c r="K205" s="810"/>
      <c r="L205" s="810">
        <f t="shared" si="78"/>
        <v>0</v>
      </c>
      <c r="M205" s="810"/>
      <c r="N205" s="810">
        <f t="shared" si="75"/>
        <v>0</v>
      </c>
      <c r="O205" s="810"/>
      <c r="P205" s="810">
        <f t="shared" si="76"/>
        <v>0</v>
      </c>
      <c r="Q205" s="810"/>
      <c r="R205" s="810">
        <f t="shared" si="72"/>
        <v>0</v>
      </c>
      <c r="S205" s="810"/>
      <c r="T205" s="810">
        <f t="shared" si="73"/>
        <v>0</v>
      </c>
      <c r="U205" s="810">
        <f t="shared" si="66"/>
        <v>0</v>
      </c>
      <c r="V205" s="810">
        <f t="shared" si="77"/>
        <v>0</v>
      </c>
      <c r="W205" s="779"/>
    </row>
    <row r="206" spans="1:23" s="775" customFormat="1" ht="8.1" customHeight="1" x14ac:dyDescent="0.25">
      <c r="A206" s="1408" t="s">
        <v>1313</v>
      </c>
      <c r="B206" s="1473"/>
      <c r="C206" s="1476" t="s">
        <v>1314</v>
      </c>
      <c r="D206" s="1411"/>
      <c r="E206" s="1411"/>
      <c r="F206" s="1411"/>
      <c r="G206" s="1477"/>
      <c r="H206" s="820" t="s">
        <v>970</v>
      </c>
      <c r="I206" s="810"/>
      <c r="J206" s="810"/>
      <c r="K206" s="810"/>
      <c r="L206" s="810">
        <f t="shared" si="78"/>
        <v>0</v>
      </c>
      <c r="M206" s="810"/>
      <c r="N206" s="810">
        <f t="shared" si="75"/>
        <v>0</v>
      </c>
      <c r="O206" s="810"/>
      <c r="P206" s="810">
        <f t="shared" si="76"/>
        <v>0</v>
      </c>
      <c r="Q206" s="810"/>
      <c r="R206" s="810">
        <f t="shared" si="72"/>
        <v>0</v>
      </c>
      <c r="S206" s="810"/>
      <c r="T206" s="810">
        <f t="shared" si="73"/>
        <v>0</v>
      </c>
      <c r="U206" s="810">
        <f t="shared" si="66"/>
        <v>0</v>
      </c>
      <c r="V206" s="810">
        <f t="shared" si="77"/>
        <v>0</v>
      </c>
      <c r="W206" s="779"/>
    </row>
    <row r="207" spans="1:23" s="775" customFormat="1" ht="16.5" customHeight="1" x14ac:dyDescent="0.25">
      <c r="A207" s="1478" t="s">
        <v>1315</v>
      </c>
      <c r="B207" s="1479"/>
      <c r="C207" s="1480" t="s">
        <v>1316</v>
      </c>
      <c r="D207" s="1481"/>
      <c r="E207" s="1481"/>
      <c r="F207" s="1481"/>
      <c r="G207" s="1482"/>
      <c r="H207" s="820" t="s">
        <v>970</v>
      </c>
      <c r="I207" s="822">
        <f t="shared" ref="I207:V207" si="79">I208+I215+I216+I217</f>
        <v>37.893000000000001</v>
      </c>
      <c r="J207" s="822">
        <f t="shared" si="79"/>
        <v>26.19</v>
      </c>
      <c r="K207" s="822">
        <f t="shared" si="79"/>
        <v>84.944999999999993</v>
      </c>
      <c r="L207" s="822">
        <f t="shared" si="79"/>
        <v>59.88</v>
      </c>
      <c r="M207" s="822">
        <f t="shared" si="79"/>
        <v>60.49</v>
      </c>
      <c r="N207" s="822">
        <f t="shared" si="79"/>
        <v>58.9</v>
      </c>
      <c r="O207" s="822">
        <f t="shared" si="79"/>
        <v>102.25</v>
      </c>
      <c r="P207" s="822">
        <f t="shared" si="79"/>
        <v>55.93</v>
      </c>
      <c r="Q207" s="822">
        <f t="shared" si="79"/>
        <v>86.43</v>
      </c>
      <c r="R207" s="822">
        <f t="shared" si="79"/>
        <v>54.68</v>
      </c>
      <c r="S207" s="822">
        <f t="shared" si="79"/>
        <v>88.21</v>
      </c>
      <c r="T207" s="822">
        <f t="shared" si="79"/>
        <v>63.38</v>
      </c>
      <c r="U207" s="822">
        <f t="shared" si="79"/>
        <v>96.56</v>
      </c>
      <c r="V207" s="822">
        <f t="shared" si="79"/>
        <v>292.77</v>
      </c>
      <c r="W207" s="822">
        <f>W208+W215+W216+W217</f>
        <v>433.93</v>
      </c>
    </row>
    <row r="208" spans="1:23" s="775" customFormat="1" ht="8.1" customHeight="1" x14ac:dyDescent="0.25">
      <c r="A208" s="1408" t="s">
        <v>1317</v>
      </c>
      <c r="B208" s="1473"/>
      <c r="C208" s="1476" t="s">
        <v>1318</v>
      </c>
      <c r="D208" s="1411"/>
      <c r="E208" s="1411"/>
      <c r="F208" s="1411"/>
      <c r="G208" s="1477"/>
      <c r="H208" s="820" t="s">
        <v>970</v>
      </c>
      <c r="I208" s="810">
        <f t="shared" ref="I208:U208" si="80">I214+I213+I212+I211+I210+I209</f>
        <v>37.893000000000001</v>
      </c>
      <c r="J208" s="810">
        <f t="shared" si="80"/>
        <v>26.19</v>
      </c>
      <c r="K208" s="821">
        <f t="shared" si="80"/>
        <v>84.944999999999993</v>
      </c>
      <c r="L208" s="810">
        <f t="shared" si="80"/>
        <v>59.88</v>
      </c>
      <c r="M208" s="810">
        <f t="shared" si="80"/>
        <v>60.49</v>
      </c>
      <c r="N208" s="810">
        <f t="shared" si="80"/>
        <v>58.9</v>
      </c>
      <c r="O208" s="810">
        <f t="shared" si="80"/>
        <v>102.25</v>
      </c>
      <c r="P208" s="810">
        <f t="shared" si="80"/>
        <v>55.93</v>
      </c>
      <c r="Q208" s="810">
        <f t="shared" si="80"/>
        <v>86.43</v>
      </c>
      <c r="R208" s="810">
        <f t="shared" si="80"/>
        <v>54.68</v>
      </c>
      <c r="S208" s="810">
        <f t="shared" si="80"/>
        <v>88.21</v>
      </c>
      <c r="T208" s="810">
        <f t="shared" si="80"/>
        <v>63.38</v>
      </c>
      <c r="U208" s="810">
        <f t="shared" si="80"/>
        <v>96.56</v>
      </c>
      <c r="V208" s="810">
        <f t="shared" ref="V208:W221" si="81">L208+N208+P208+R208+T208</f>
        <v>292.77</v>
      </c>
      <c r="W208" s="810">
        <f>M208+O208+Q208+S208+U208-0.01</f>
        <v>433.93</v>
      </c>
    </row>
    <row r="209" spans="1:23" s="775" customFormat="1" ht="8.1" customHeight="1" x14ac:dyDescent="0.25">
      <c r="A209" s="1408" t="s">
        <v>1319</v>
      </c>
      <c r="B209" s="1473"/>
      <c r="C209" s="1474" t="s">
        <v>1320</v>
      </c>
      <c r="D209" s="1421"/>
      <c r="E209" s="1421"/>
      <c r="F209" s="1421"/>
      <c r="G209" s="1475"/>
      <c r="H209" s="820" t="s">
        <v>970</v>
      </c>
      <c r="I209" s="821">
        <v>37.893000000000001</v>
      </c>
      <c r="J209" s="821">
        <v>26.19</v>
      </c>
      <c r="K209" s="821">
        <f>33.597+11.612</f>
        <v>45.209000000000003</v>
      </c>
      <c r="L209" s="810">
        <f>59.88</f>
        <v>59.88</v>
      </c>
      <c r="M209" s="810">
        <f>61.05-0.56</f>
        <v>60.49</v>
      </c>
      <c r="N209" s="810">
        <v>58.9</v>
      </c>
      <c r="O209" s="810">
        <v>102.25</v>
      </c>
      <c r="P209" s="810">
        <v>55.93</v>
      </c>
      <c r="Q209" s="810">
        <v>86.43</v>
      </c>
      <c r="R209" s="810">
        <v>54.68</v>
      </c>
      <c r="S209" s="810">
        <v>88.21</v>
      </c>
      <c r="T209" s="810">
        <v>63.38</v>
      </c>
      <c r="U209" s="810">
        <v>96.56</v>
      </c>
      <c r="V209" s="810">
        <f t="shared" si="81"/>
        <v>292.77</v>
      </c>
      <c r="W209" s="810">
        <f>M209+O209+Q209+S209+U209-0.01</f>
        <v>433.93</v>
      </c>
    </row>
    <row r="210" spans="1:23" s="775" customFormat="1" ht="8.1" customHeight="1" x14ac:dyDescent="0.25">
      <c r="A210" s="1408" t="s">
        <v>1321</v>
      </c>
      <c r="B210" s="1473"/>
      <c r="C210" s="1474" t="s">
        <v>1322</v>
      </c>
      <c r="D210" s="1421"/>
      <c r="E210" s="1421"/>
      <c r="F210" s="1421"/>
      <c r="G210" s="1475"/>
      <c r="H210" s="820" t="s">
        <v>970</v>
      </c>
      <c r="I210" s="810"/>
      <c r="J210" s="810"/>
      <c r="K210" s="821"/>
      <c r="L210" s="810"/>
      <c r="M210" s="810"/>
      <c r="N210" s="810"/>
      <c r="O210" s="810"/>
      <c r="P210" s="810"/>
      <c r="Q210" s="810"/>
      <c r="R210" s="810"/>
      <c r="S210" s="810"/>
      <c r="T210" s="810"/>
      <c r="U210" s="810"/>
      <c r="V210" s="810">
        <f t="shared" si="81"/>
        <v>0</v>
      </c>
      <c r="W210" s="810">
        <f t="shared" si="81"/>
        <v>0</v>
      </c>
    </row>
    <row r="211" spans="1:23" s="775" customFormat="1" ht="8.1" customHeight="1" x14ac:dyDescent="0.25">
      <c r="A211" s="1408" t="s">
        <v>1323</v>
      </c>
      <c r="B211" s="1473"/>
      <c r="C211" s="1474" t="s">
        <v>1324</v>
      </c>
      <c r="D211" s="1421"/>
      <c r="E211" s="1421"/>
      <c r="F211" s="1421"/>
      <c r="G211" s="1475"/>
      <c r="H211" s="799" t="s">
        <v>970</v>
      </c>
      <c r="I211" s="1093"/>
      <c r="J211" s="810"/>
      <c r="K211" s="821"/>
      <c r="L211" s="810"/>
      <c r="M211" s="810"/>
      <c r="N211" s="810"/>
      <c r="O211" s="810"/>
      <c r="P211" s="810"/>
      <c r="Q211" s="810"/>
      <c r="R211" s="810"/>
      <c r="S211" s="810"/>
      <c r="T211" s="810"/>
      <c r="U211" s="810"/>
      <c r="V211" s="810">
        <f t="shared" si="81"/>
        <v>0</v>
      </c>
      <c r="W211" s="810">
        <f t="shared" si="81"/>
        <v>0</v>
      </c>
    </row>
    <row r="212" spans="1:23" s="775" customFormat="1" ht="8.1" customHeight="1" x14ac:dyDescent="0.25">
      <c r="A212" s="1408" t="s">
        <v>1325</v>
      </c>
      <c r="B212" s="1473"/>
      <c r="C212" s="1474" t="s">
        <v>1326</v>
      </c>
      <c r="D212" s="1421"/>
      <c r="E212" s="1421"/>
      <c r="F212" s="1421"/>
      <c r="G212" s="1475"/>
      <c r="H212" s="799" t="s">
        <v>970</v>
      </c>
      <c r="I212" s="1093"/>
      <c r="J212" s="810"/>
      <c r="K212" s="821">
        <v>39.735999999999997</v>
      </c>
      <c r="L212" s="810"/>
      <c r="M212" s="810"/>
      <c r="N212" s="810"/>
      <c r="O212" s="810"/>
      <c r="P212" s="810"/>
      <c r="Q212" s="810"/>
      <c r="R212" s="810"/>
      <c r="S212" s="810"/>
      <c r="T212" s="810"/>
      <c r="U212" s="810"/>
      <c r="V212" s="810">
        <f t="shared" si="81"/>
        <v>0</v>
      </c>
      <c r="W212" s="810">
        <f t="shared" si="81"/>
        <v>0</v>
      </c>
    </row>
    <row r="213" spans="1:23" s="775" customFormat="1" ht="8.1" customHeight="1" x14ac:dyDescent="0.25">
      <c r="A213" s="1408" t="s">
        <v>1327</v>
      </c>
      <c r="B213" s="1473"/>
      <c r="C213" s="1474" t="s">
        <v>1328</v>
      </c>
      <c r="D213" s="1421"/>
      <c r="E213" s="1421"/>
      <c r="F213" s="1421"/>
      <c r="G213" s="1475"/>
      <c r="H213" s="799" t="s">
        <v>970</v>
      </c>
      <c r="I213" s="1093"/>
      <c r="J213" s="810"/>
      <c r="K213" s="821"/>
      <c r="L213" s="810"/>
      <c r="M213" s="810"/>
      <c r="N213" s="810"/>
      <c r="O213" s="810"/>
      <c r="P213" s="810"/>
      <c r="Q213" s="810"/>
      <c r="R213" s="810"/>
      <c r="S213" s="810"/>
      <c r="T213" s="810"/>
      <c r="U213" s="810"/>
      <c r="V213" s="810">
        <f t="shared" si="81"/>
        <v>0</v>
      </c>
      <c r="W213" s="810">
        <f t="shared" si="81"/>
        <v>0</v>
      </c>
    </row>
    <row r="214" spans="1:23" s="775" customFormat="1" ht="8.1" customHeight="1" x14ac:dyDescent="0.25">
      <c r="A214" s="1408" t="s">
        <v>1329</v>
      </c>
      <c r="B214" s="1473"/>
      <c r="C214" s="1474" t="s">
        <v>1330</v>
      </c>
      <c r="D214" s="1421"/>
      <c r="E214" s="1421"/>
      <c r="F214" s="1421"/>
      <c r="G214" s="1475"/>
      <c r="H214" s="799" t="s">
        <v>970</v>
      </c>
      <c r="I214" s="1093"/>
      <c r="J214" s="810"/>
      <c r="K214" s="821"/>
      <c r="L214" s="810"/>
      <c r="M214" s="810"/>
      <c r="N214" s="810"/>
      <c r="O214" s="810"/>
      <c r="P214" s="810"/>
      <c r="Q214" s="810"/>
      <c r="R214" s="810"/>
      <c r="S214" s="810"/>
      <c r="T214" s="810"/>
      <c r="U214" s="810"/>
      <c r="V214" s="810">
        <f t="shared" si="81"/>
        <v>0</v>
      </c>
      <c r="W214" s="810">
        <f t="shared" si="81"/>
        <v>0</v>
      </c>
    </row>
    <row r="215" spans="1:23" s="775" customFormat="1" ht="8.1" customHeight="1" x14ac:dyDescent="0.25">
      <c r="A215" s="1408" t="s">
        <v>1331</v>
      </c>
      <c r="B215" s="1473"/>
      <c r="C215" s="1476" t="s">
        <v>1332</v>
      </c>
      <c r="D215" s="1411"/>
      <c r="E215" s="1411"/>
      <c r="F215" s="1411"/>
      <c r="G215" s="1477"/>
      <c r="H215" s="799" t="s">
        <v>970</v>
      </c>
      <c r="I215" s="1093"/>
      <c r="J215" s="810"/>
      <c r="K215" s="810"/>
      <c r="L215" s="810"/>
      <c r="M215" s="810"/>
      <c r="N215" s="810"/>
      <c r="O215" s="810"/>
      <c r="P215" s="810"/>
      <c r="Q215" s="810"/>
      <c r="R215" s="810"/>
      <c r="S215" s="810"/>
      <c r="T215" s="810"/>
      <c r="U215" s="810"/>
      <c r="V215" s="810">
        <f t="shared" si="81"/>
        <v>0</v>
      </c>
      <c r="W215" s="810">
        <f t="shared" si="81"/>
        <v>0</v>
      </c>
    </row>
    <row r="216" spans="1:23" s="775" customFormat="1" ht="8.1" customHeight="1" x14ac:dyDescent="0.25">
      <c r="A216" s="1408" t="s">
        <v>1333</v>
      </c>
      <c r="B216" s="1473"/>
      <c r="C216" s="1476" t="s">
        <v>1334</v>
      </c>
      <c r="D216" s="1411"/>
      <c r="E216" s="1411"/>
      <c r="F216" s="1411"/>
      <c r="G216" s="1477"/>
      <c r="H216" s="799" t="s">
        <v>970</v>
      </c>
      <c r="I216" s="1093"/>
      <c r="J216" s="810"/>
      <c r="K216" s="810"/>
      <c r="L216" s="810"/>
      <c r="M216" s="810"/>
      <c r="N216" s="810"/>
      <c r="O216" s="810"/>
      <c r="P216" s="810"/>
      <c r="Q216" s="810"/>
      <c r="R216" s="810"/>
      <c r="S216" s="810"/>
      <c r="T216" s="810"/>
      <c r="U216" s="810"/>
      <c r="V216" s="810">
        <f t="shared" si="81"/>
        <v>0</v>
      </c>
      <c r="W216" s="810">
        <f t="shared" si="81"/>
        <v>0</v>
      </c>
    </row>
    <row r="217" spans="1:23" s="775" customFormat="1" ht="8.1" customHeight="1" x14ac:dyDescent="0.25">
      <c r="A217" s="1408" t="s">
        <v>1335</v>
      </c>
      <c r="B217" s="1473"/>
      <c r="C217" s="1476" t="s">
        <v>1167</v>
      </c>
      <c r="D217" s="1411"/>
      <c r="E217" s="1411"/>
      <c r="F217" s="1411"/>
      <c r="G217" s="1477"/>
      <c r="H217" s="799" t="s">
        <v>830</v>
      </c>
      <c r="I217" s="1093"/>
      <c r="J217" s="810"/>
      <c r="K217" s="810"/>
      <c r="L217" s="810"/>
      <c r="M217" s="810"/>
      <c r="N217" s="810"/>
      <c r="O217" s="810"/>
      <c r="P217" s="810"/>
      <c r="Q217" s="810"/>
      <c r="R217" s="810"/>
      <c r="S217" s="810"/>
      <c r="T217" s="810"/>
      <c r="U217" s="810">
        <f>U218</f>
        <v>0</v>
      </c>
      <c r="V217" s="810">
        <f t="shared" si="81"/>
        <v>0</v>
      </c>
      <c r="W217" s="810">
        <f t="shared" si="81"/>
        <v>0</v>
      </c>
    </row>
    <row r="218" spans="1:23" s="775" customFormat="1" ht="16.5" customHeight="1" x14ac:dyDescent="0.25">
      <c r="A218" s="1408" t="s">
        <v>1336</v>
      </c>
      <c r="B218" s="1473"/>
      <c r="C218" s="1474" t="s">
        <v>1337</v>
      </c>
      <c r="D218" s="1421"/>
      <c r="E218" s="1421"/>
      <c r="F218" s="1421"/>
      <c r="G218" s="1475"/>
      <c r="H218" s="799" t="s">
        <v>970</v>
      </c>
      <c r="I218" s="1093"/>
      <c r="J218" s="810"/>
      <c r="K218" s="810"/>
      <c r="L218" s="810"/>
      <c r="M218" s="810"/>
      <c r="N218" s="810"/>
      <c r="O218" s="810"/>
      <c r="P218" s="810"/>
      <c r="Q218" s="810"/>
      <c r="R218" s="810"/>
      <c r="S218" s="810"/>
      <c r="T218" s="810"/>
      <c r="U218" s="810"/>
      <c r="V218" s="810">
        <f t="shared" si="81"/>
        <v>0</v>
      </c>
      <c r="W218" s="810">
        <f t="shared" si="81"/>
        <v>0</v>
      </c>
    </row>
    <row r="219" spans="1:23" s="775" customFormat="1" ht="9" customHeight="1" x14ac:dyDescent="0.25">
      <c r="A219" s="1478" t="s">
        <v>1338</v>
      </c>
      <c r="B219" s="1479"/>
      <c r="C219" s="1480" t="s">
        <v>1339</v>
      </c>
      <c r="D219" s="1481"/>
      <c r="E219" s="1481"/>
      <c r="F219" s="1481"/>
      <c r="G219" s="1482"/>
      <c r="H219" s="799" t="s">
        <v>970</v>
      </c>
      <c r="I219" s="1093">
        <f t="shared" ref="I219:U219" si="82">I220+I221+I225+I229+I230+I231</f>
        <v>0</v>
      </c>
      <c r="J219" s="810">
        <f t="shared" si="82"/>
        <v>0</v>
      </c>
      <c r="K219" s="810">
        <f t="shared" si="82"/>
        <v>0</v>
      </c>
      <c r="L219" s="810">
        <f t="shared" si="82"/>
        <v>0</v>
      </c>
      <c r="M219" s="810">
        <f t="shared" si="82"/>
        <v>0</v>
      </c>
      <c r="N219" s="810">
        <f t="shared" si="82"/>
        <v>0</v>
      </c>
      <c r="O219" s="810">
        <f t="shared" si="82"/>
        <v>0</v>
      </c>
      <c r="P219" s="810">
        <f t="shared" si="82"/>
        <v>0</v>
      </c>
      <c r="Q219" s="810">
        <f t="shared" si="82"/>
        <v>0</v>
      </c>
      <c r="R219" s="810">
        <f t="shared" si="82"/>
        <v>0</v>
      </c>
      <c r="S219" s="810">
        <f t="shared" si="82"/>
        <v>0</v>
      </c>
      <c r="T219" s="810">
        <f t="shared" si="82"/>
        <v>0</v>
      </c>
      <c r="U219" s="810">
        <f t="shared" si="82"/>
        <v>0</v>
      </c>
      <c r="V219" s="810">
        <f t="shared" si="81"/>
        <v>0</v>
      </c>
      <c r="W219" s="1094">
        <f>W220+W221+W225+W229+W230+W231</f>
        <v>0</v>
      </c>
    </row>
    <row r="220" spans="1:23" s="775" customFormat="1" ht="8.1" customHeight="1" x14ac:dyDescent="0.25">
      <c r="A220" s="1408" t="s">
        <v>1340</v>
      </c>
      <c r="B220" s="1473"/>
      <c r="C220" s="1476" t="s">
        <v>1341</v>
      </c>
      <c r="D220" s="1411"/>
      <c r="E220" s="1411"/>
      <c r="F220" s="1411"/>
      <c r="G220" s="1477"/>
      <c r="H220" s="799" t="s">
        <v>970</v>
      </c>
      <c r="I220" s="1093"/>
      <c r="J220" s="810"/>
      <c r="K220" s="810"/>
      <c r="L220" s="810">
        <f>K220*104.4/100</f>
        <v>0</v>
      </c>
      <c r="M220" s="810"/>
      <c r="N220" s="810">
        <f>L220*104.2/100</f>
        <v>0</v>
      </c>
      <c r="O220" s="810"/>
      <c r="P220" s="810">
        <f>N220*104.1/100</f>
        <v>0</v>
      </c>
      <c r="Q220" s="810"/>
      <c r="R220" s="810">
        <f>P220*104.1/100</f>
        <v>0</v>
      </c>
      <c r="S220" s="810"/>
      <c r="T220" s="810">
        <f>P220*104.1/100</f>
        <v>0</v>
      </c>
      <c r="U220" s="810"/>
      <c r="V220" s="810">
        <f t="shared" si="81"/>
        <v>0</v>
      </c>
      <c r="W220" s="779"/>
    </row>
    <row r="221" spans="1:23" s="775" customFormat="1" ht="8.1" customHeight="1" x14ac:dyDescent="0.25">
      <c r="A221" s="1408" t="s">
        <v>1342</v>
      </c>
      <c r="B221" s="1473"/>
      <c r="C221" s="1476" t="s">
        <v>1343</v>
      </c>
      <c r="D221" s="1411"/>
      <c r="E221" s="1411"/>
      <c r="F221" s="1411"/>
      <c r="G221" s="1477"/>
      <c r="H221" s="799" t="s">
        <v>970</v>
      </c>
      <c r="I221" s="1093">
        <f t="shared" ref="I221:U221" si="83">I224+I223+I222</f>
        <v>0</v>
      </c>
      <c r="J221" s="810">
        <f t="shared" si="83"/>
        <v>0</v>
      </c>
      <c r="K221" s="810">
        <f t="shared" si="83"/>
        <v>0</v>
      </c>
      <c r="L221" s="810">
        <f t="shared" si="83"/>
        <v>0</v>
      </c>
      <c r="M221" s="810">
        <f t="shared" si="83"/>
        <v>0</v>
      </c>
      <c r="N221" s="810">
        <f t="shared" si="83"/>
        <v>0</v>
      </c>
      <c r="O221" s="810">
        <f t="shared" si="83"/>
        <v>0</v>
      </c>
      <c r="P221" s="810">
        <f t="shared" si="83"/>
        <v>0</v>
      </c>
      <c r="Q221" s="810">
        <f t="shared" si="83"/>
        <v>0</v>
      </c>
      <c r="R221" s="810">
        <f t="shared" si="83"/>
        <v>0</v>
      </c>
      <c r="S221" s="810">
        <f t="shared" si="83"/>
        <v>0</v>
      </c>
      <c r="T221" s="810">
        <f t="shared" si="83"/>
        <v>0</v>
      </c>
      <c r="U221" s="810">
        <f t="shared" si="83"/>
        <v>0</v>
      </c>
      <c r="V221" s="810">
        <f t="shared" si="81"/>
        <v>0</v>
      </c>
      <c r="W221" s="1094">
        <f>W224+W223+W222</f>
        <v>0</v>
      </c>
    </row>
    <row r="222" spans="1:23" s="775" customFormat="1" ht="8.1" customHeight="1" x14ac:dyDescent="0.25">
      <c r="A222" s="1408" t="s">
        <v>1344</v>
      </c>
      <c r="B222" s="1473"/>
      <c r="C222" s="1474" t="s">
        <v>1345</v>
      </c>
      <c r="D222" s="1421"/>
      <c r="E222" s="1421"/>
      <c r="F222" s="1421"/>
      <c r="G222" s="1475"/>
      <c r="H222" s="799" t="s">
        <v>970</v>
      </c>
      <c r="I222" s="1093"/>
      <c r="J222" s="810"/>
      <c r="K222" s="810"/>
      <c r="L222" s="810"/>
      <c r="M222" s="810"/>
      <c r="N222" s="810"/>
      <c r="O222" s="810"/>
      <c r="P222" s="810"/>
      <c r="Q222" s="810"/>
      <c r="R222" s="810"/>
      <c r="S222" s="810"/>
      <c r="T222" s="810"/>
      <c r="U222" s="810"/>
      <c r="V222" s="810"/>
      <c r="W222" s="779"/>
    </row>
    <row r="223" spans="1:23" s="775" customFormat="1" ht="8.1" customHeight="1" x14ac:dyDescent="0.25">
      <c r="A223" s="1408" t="s">
        <v>1346</v>
      </c>
      <c r="B223" s="1473"/>
      <c r="C223" s="1474" t="s">
        <v>1347</v>
      </c>
      <c r="D223" s="1421"/>
      <c r="E223" s="1421"/>
      <c r="F223" s="1421"/>
      <c r="G223" s="1475"/>
      <c r="H223" s="799" t="s">
        <v>970</v>
      </c>
      <c r="I223" s="1093"/>
      <c r="J223" s="810"/>
      <c r="K223" s="810"/>
      <c r="L223" s="810"/>
      <c r="M223" s="810"/>
      <c r="N223" s="810"/>
      <c r="O223" s="810"/>
      <c r="P223" s="810"/>
      <c r="Q223" s="810"/>
      <c r="R223" s="810"/>
      <c r="S223" s="810"/>
      <c r="T223" s="810"/>
      <c r="U223" s="810"/>
      <c r="V223" s="810"/>
      <c r="W223" s="779"/>
    </row>
    <row r="224" spans="1:23" s="775" customFormat="1" ht="8.1" customHeight="1" x14ac:dyDescent="0.25">
      <c r="A224" s="1408" t="s">
        <v>1348</v>
      </c>
      <c r="B224" s="1473"/>
      <c r="C224" s="1474" t="s">
        <v>1349</v>
      </c>
      <c r="D224" s="1421"/>
      <c r="E224" s="1421"/>
      <c r="F224" s="1421"/>
      <c r="G224" s="1475"/>
      <c r="H224" s="799" t="s">
        <v>970</v>
      </c>
      <c r="I224" s="823"/>
      <c r="J224" s="824"/>
      <c r="K224" s="824"/>
      <c r="L224" s="824"/>
      <c r="M224" s="824"/>
      <c r="N224" s="824"/>
      <c r="O224" s="824"/>
      <c r="P224" s="824"/>
      <c r="Q224" s="824"/>
      <c r="R224" s="824"/>
      <c r="S224" s="824"/>
      <c r="T224" s="824"/>
      <c r="U224" s="824"/>
      <c r="V224" s="810"/>
      <c r="W224" s="779"/>
    </row>
    <row r="225" spans="1:23" s="775" customFormat="1" ht="8.1" customHeight="1" x14ac:dyDescent="0.25">
      <c r="A225" s="1408" t="s">
        <v>1350</v>
      </c>
      <c r="B225" s="1473"/>
      <c r="C225" s="1476" t="s">
        <v>1351</v>
      </c>
      <c r="D225" s="1411"/>
      <c r="E225" s="1411"/>
      <c r="F225" s="1411"/>
      <c r="G225" s="1477"/>
      <c r="H225" s="799" t="s">
        <v>970</v>
      </c>
      <c r="I225" s="1093"/>
      <c r="J225" s="810"/>
      <c r="K225" s="810"/>
      <c r="L225" s="810"/>
      <c r="M225" s="810"/>
      <c r="N225" s="810"/>
      <c r="O225" s="810"/>
      <c r="P225" s="810"/>
      <c r="Q225" s="810"/>
      <c r="R225" s="810"/>
      <c r="S225" s="810"/>
      <c r="T225" s="810"/>
      <c r="U225" s="810"/>
      <c r="V225" s="810"/>
      <c r="W225" s="779"/>
    </row>
    <row r="226" spans="1:23" s="775" customFormat="1" ht="8.1" customHeight="1" x14ac:dyDescent="0.25">
      <c r="A226" s="1408" t="s">
        <v>1352</v>
      </c>
      <c r="B226" s="1473"/>
      <c r="C226" s="1476" t="s">
        <v>1353</v>
      </c>
      <c r="D226" s="1411"/>
      <c r="E226" s="1411"/>
      <c r="F226" s="1411"/>
      <c r="G226" s="1477"/>
      <c r="H226" s="799" t="s">
        <v>970</v>
      </c>
      <c r="I226" s="1093"/>
      <c r="J226" s="810"/>
      <c r="K226" s="810"/>
      <c r="L226" s="810"/>
      <c r="M226" s="810"/>
      <c r="N226" s="810"/>
      <c r="O226" s="810"/>
      <c r="P226" s="810"/>
      <c r="Q226" s="810"/>
      <c r="R226" s="810"/>
      <c r="S226" s="810"/>
      <c r="T226" s="810"/>
      <c r="U226" s="810"/>
      <c r="V226" s="810"/>
      <c r="W226" s="779"/>
    </row>
    <row r="227" spans="1:23" s="775" customFormat="1" ht="8.1" customHeight="1" x14ac:dyDescent="0.25">
      <c r="A227" s="1408" t="s">
        <v>1354</v>
      </c>
      <c r="B227" s="1473"/>
      <c r="C227" s="1474" t="s">
        <v>1355</v>
      </c>
      <c r="D227" s="1421"/>
      <c r="E227" s="1421"/>
      <c r="F227" s="1421"/>
      <c r="G227" s="1475"/>
      <c r="H227" s="799" t="s">
        <v>970</v>
      </c>
      <c r="I227" s="1093"/>
      <c r="J227" s="810"/>
      <c r="K227" s="810"/>
      <c r="L227" s="810">
        <f>K227*104.4/100</f>
        <v>0</v>
      </c>
      <c r="M227" s="810"/>
      <c r="N227" s="810">
        <f>L227*104.2/100</f>
        <v>0</v>
      </c>
      <c r="O227" s="810"/>
      <c r="P227" s="810">
        <f>N227*104.1/100</f>
        <v>0</v>
      </c>
      <c r="Q227" s="810"/>
      <c r="R227" s="810">
        <f>P227*104.1/100</f>
        <v>0</v>
      </c>
      <c r="S227" s="810"/>
      <c r="T227" s="810">
        <f>P227*104.1/100</f>
        <v>0</v>
      </c>
      <c r="U227" s="810"/>
      <c r="V227" s="810">
        <f t="shared" ref="V227:V232" si="84">L227+N227+P227+R227+T227</f>
        <v>0</v>
      </c>
      <c r="W227" s="779"/>
    </row>
    <row r="228" spans="1:23" s="775" customFormat="1" ht="8.1" customHeight="1" x14ac:dyDescent="0.25">
      <c r="A228" s="1408" t="s">
        <v>1356</v>
      </c>
      <c r="B228" s="1473"/>
      <c r="C228" s="1474" t="s">
        <v>1357</v>
      </c>
      <c r="D228" s="1421"/>
      <c r="E228" s="1421"/>
      <c r="F228" s="1421"/>
      <c r="G228" s="1475"/>
      <c r="H228" s="799" t="s">
        <v>970</v>
      </c>
      <c r="I228" s="1093"/>
      <c r="J228" s="810"/>
      <c r="K228" s="810"/>
      <c r="L228" s="810">
        <f>K228*104.4/100</f>
        <v>0</v>
      </c>
      <c r="M228" s="810"/>
      <c r="N228" s="810">
        <f>L228*104.2/100</f>
        <v>0</v>
      </c>
      <c r="O228" s="810"/>
      <c r="P228" s="810">
        <f>N228*104.1/100</f>
        <v>0</v>
      </c>
      <c r="Q228" s="810"/>
      <c r="R228" s="810">
        <f>P228*104.1/100</f>
        <v>0</v>
      </c>
      <c r="S228" s="810"/>
      <c r="T228" s="810">
        <f>P228*104.1/100</f>
        <v>0</v>
      </c>
      <c r="U228" s="810"/>
      <c r="V228" s="810">
        <f t="shared" si="84"/>
        <v>0</v>
      </c>
      <c r="W228" s="779"/>
    </row>
    <row r="229" spans="1:23" s="775" customFormat="1" ht="8.1" customHeight="1" x14ac:dyDescent="0.25">
      <c r="A229" s="1408" t="s">
        <v>1358</v>
      </c>
      <c r="B229" s="1473"/>
      <c r="C229" s="1476" t="s">
        <v>1359</v>
      </c>
      <c r="D229" s="1411"/>
      <c r="E229" s="1411"/>
      <c r="F229" s="1411"/>
      <c r="G229" s="1477"/>
      <c r="H229" s="799" t="s">
        <v>970</v>
      </c>
      <c r="I229" s="1093"/>
      <c r="J229" s="810"/>
      <c r="K229" s="810"/>
      <c r="L229" s="810">
        <f>K229*104.4/100</f>
        <v>0</v>
      </c>
      <c r="M229" s="810"/>
      <c r="N229" s="810">
        <f>L229*104.2/100</f>
        <v>0</v>
      </c>
      <c r="O229" s="810"/>
      <c r="P229" s="810">
        <f>N229*104.1/100</f>
        <v>0</v>
      </c>
      <c r="Q229" s="810"/>
      <c r="R229" s="810">
        <f>P229*104.1/100</f>
        <v>0</v>
      </c>
      <c r="S229" s="810"/>
      <c r="T229" s="810">
        <f>P229*104.1/100</f>
        <v>0</v>
      </c>
      <c r="U229" s="810"/>
      <c r="V229" s="810">
        <f t="shared" si="84"/>
        <v>0</v>
      </c>
      <c r="W229" s="779"/>
    </row>
    <row r="230" spans="1:23" s="775" customFormat="1" ht="8.1" customHeight="1" x14ac:dyDescent="0.25">
      <c r="A230" s="1408" t="s">
        <v>1360</v>
      </c>
      <c r="B230" s="1473"/>
      <c r="C230" s="1476" t="s">
        <v>1361</v>
      </c>
      <c r="D230" s="1411"/>
      <c r="E230" s="1411"/>
      <c r="F230" s="1411"/>
      <c r="G230" s="1477"/>
      <c r="H230" s="799" t="s">
        <v>970</v>
      </c>
      <c r="I230" s="1093"/>
      <c r="J230" s="810"/>
      <c r="K230" s="810"/>
      <c r="L230" s="810">
        <f>K230*104.4/100</f>
        <v>0</v>
      </c>
      <c r="M230" s="810"/>
      <c r="N230" s="810">
        <f>L230*104.2/100</f>
        <v>0</v>
      </c>
      <c r="O230" s="810"/>
      <c r="P230" s="810">
        <f>N230*104.1/100</f>
        <v>0</v>
      </c>
      <c r="Q230" s="810"/>
      <c r="R230" s="810">
        <f>P230*104.1/100</f>
        <v>0</v>
      </c>
      <c r="S230" s="810"/>
      <c r="T230" s="810">
        <f>P230*104.1/100</f>
        <v>0</v>
      </c>
      <c r="U230" s="810"/>
      <c r="V230" s="810">
        <f t="shared" si="84"/>
        <v>0</v>
      </c>
      <c r="W230" s="779"/>
    </row>
    <row r="231" spans="1:23" s="775" customFormat="1" ht="8.1" customHeight="1" x14ac:dyDescent="0.25">
      <c r="A231" s="1408" t="s">
        <v>1362</v>
      </c>
      <c r="B231" s="1473"/>
      <c r="C231" s="1476" t="s">
        <v>1363</v>
      </c>
      <c r="D231" s="1411"/>
      <c r="E231" s="1411"/>
      <c r="F231" s="1411"/>
      <c r="G231" s="1477"/>
      <c r="H231" s="799" t="s">
        <v>970</v>
      </c>
      <c r="I231" s="1093"/>
      <c r="J231" s="810"/>
      <c r="K231" s="810"/>
      <c r="L231" s="810">
        <f>K231*104.4/100</f>
        <v>0</v>
      </c>
      <c r="M231" s="810"/>
      <c r="N231" s="810">
        <f>L231*104.2/100</f>
        <v>0</v>
      </c>
      <c r="O231" s="810"/>
      <c r="P231" s="810">
        <f>N231*104.1/100</f>
        <v>0</v>
      </c>
      <c r="Q231" s="810"/>
      <c r="R231" s="810">
        <f>P231*104.1/100</f>
        <v>0</v>
      </c>
      <c r="S231" s="810"/>
      <c r="T231" s="810">
        <f>P231*104.1/100</f>
        <v>0</v>
      </c>
      <c r="U231" s="810"/>
      <c r="V231" s="810">
        <f t="shared" si="84"/>
        <v>0</v>
      </c>
      <c r="W231" s="779"/>
    </row>
    <row r="232" spans="1:23" s="775" customFormat="1" ht="8.1" customHeight="1" x14ac:dyDescent="0.25">
      <c r="A232" s="1478" t="s">
        <v>1364</v>
      </c>
      <c r="B232" s="1479"/>
      <c r="C232" s="1480" t="s">
        <v>1365</v>
      </c>
      <c r="D232" s="1481"/>
      <c r="E232" s="1481"/>
      <c r="F232" s="1481"/>
      <c r="G232" s="1482"/>
      <c r="H232" s="799" t="s">
        <v>970</v>
      </c>
      <c r="I232" s="1093">
        <f t="shared" ref="I232:U232" si="85">I233+I237+I238</f>
        <v>0</v>
      </c>
      <c r="J232" s="810">
        <f t="shared" si="85"/>
        <v>0</v>
      </c>
      <c r="K232" s="810">
        <f t="shared" si="85"/>
        <v>0</v>
      </c>
      <c r="L232" s="810">
        <f t="shared" si="85"/>
        <v>0</v>
      </c>
      <c r="M232" s="810">
        <f t="shared" si="85"/>
        <v>0</v>
      </c>
      <c r="N232" s="810">
        <f t="shared" si="85"/>
        <v>0</v>
      </c>
      <c r="O232" s="810">
        <f t="shared" si="85"/>
        <v>0</v>
      </c>
      <c r="P232" s="810">
        <f t="shared" si="85"/>
        <v>0</v>
      </c>
      <c r="Q232" s="810">
        <f t="shared" si="85"/>
        <v>0</v>
      </c>
      <c r="R232" s="810">
        <f t="shared" si="85"/>
        <v>0</v>
      </c>
      <c r="S232" s="810">
        <f t="shared" si="85"/>
        <v>0</v>
      </c>
      <c r="T232" s="810">
        <f t="shared" si="85"/>
        <v>0</v>
      </c>
      <c r="U232" s="810">
        <f t="shared" si="85"/>
        <v>0</v>
      </c>
      <c r="V232" s="810">
        <f t="shared" si="84"/>
        <v>0</v>
      </c>
      <c r="W232" s="1094">
        <f>W233+W237+W238</f>
        <v>0</v>
      </c>
    </row>
    <row r="233" spans="1:23" s="775" customFormat="1" ht="8.1" customHeight="1" x14ac:dyDescent="0.25">
      <c r="A233" s="1408" t="s">
        <v>1366</v>
      </c>
      <c r="B233" s="1473"/>
      <c r="C233" s="1476" t="s">
        <v>1367</v>
      </c>
      <c r="D233" s="1411"/>
      <c r="E233" s="1411"/>
      <c r="F233" s="1411"/>
      <c r="G233" s="1477"/>
      <c r="H233" s="799" t="s">
        <v>970</v>
      </c>
      <c r="I233" s="1093"/>
      <c r="J233" s="810"/>
      <c r="K233" s="810"/>
      <c r="L233" s="810"/>
      <c r="M233" s="810"/>
      <c r="N233" s="810"/>
      <c r="O233" s="810"/>
      <c r="P233" s="810"/>
      <c r="Q233" s="810"/>
      <c r="R233" s="810"/>
      <c r="S233" s="810"/>
      <c r="T233" s="810"/>
      <c r="U233" s="810"/>
      <c r="V233" s="810"/>
      <c r="W233" s="779"/>
    </row>
    <row r="234" spans="1:23" s="775" customFormat="1" ht="8.1" customHeight="1" x14ac:dyDescent="0.25">
      <c r="A234" s="1408" t="s">
        <v>1368</v>
      </c>
      <c r="B234" s="1473"/>
      <c r="C234" s="1474" t="s">
        <v>1345</v>
      </c>
      <c r="D234" s="1421"/>
      <c r="E234" s="1421"/>
      <c r="F234" s="1421"/>
      <c r="G234" s="1475"/>
      <c r="H234" s="799" t="s">
        <v>970</v>
      </c>
      <c r="I234" s="1093"/>
      <c r="J234" s="810"/>
      <c r="K234" s="810"/>
      <c r="L234" s="810"/>
      <c r="M234" s="810"/>
      <c r="N234" s="810"/>
      <c r="O234" s="810"/>
      <c r="P234" s="810"/>
      <c r="Q234" s="810"/>
      <c r="R234" s="810"/>
      <c r="S234" s="810"/>
      <c r="T234" s="810"/>
      <c r="U234" s="810"/>
      <c r="V234" s="810"/>
      <c r="W234" s="1094">
        <f>W233</f>
        <v>0</v>
      </c>
    </row>
    <row r="235" spans="1:23" s="775" customFormat="1" ht="8.1" customHeight="1" x14ac:dyDescent="0.25">
      <c r="A235" s="1408" t="s">
        <v>1369</v>
      </c>
      <c r="B235" s="1473"/>
      <c r="C235" s="1474" t="s">
        <v>1347</v>
      </c>
      <c r="D235" s="1421"/>
      <c r="E235" s="1421"/>
      <c r="F235" s="1421"/>
      <c r="G235" s="1475"/>
      <c r="H235" s="799" t="s">
        <v>970</v>
      </c>
      <c r="I235" s="1093"/>
      <c r="J235" s="810"/>
      <c r="K235" s="810"/>
      <c r="L235" s="810"/>
      <c r="M235" s="810"/>
      <c r="N235" s="810"/>
      <c r="O235" s="810"/>
      <c r="P235" s="810"/>
      <c r="Q235" s="810"/>
      <c r="R235" s="810"/>
      <c r="S235" s="810"/>
      <c r="T235" s="810"/>
      <c r="U235" s="810"/>
      <c r="V235" s="810"/>
      <c r="W235" s="779"/>
    </row>
    <row r="236" spans="1:23" s="775" customFormat="1" ht="8.1" customHeight="1" x14ac:dyDescent="0.25">
      <c r="A236" s="1408" t="s">
        <v>1370</v>
      </c>
      <c r="B236" s="1473"/>
      <c r="C236" s="1474" t="s">
        <v>1349</v>
      </c>
      <c r="D236" s="1421"/>
      <c r="E236" s="1421"/>
      <c r="F236" s="1421"/>
      <c r="G236" s="1475"/>
      <c r="H236" s="799" t="s">
        <v>970</v>
      </c>
      <c r="I236" s="1093"/>
      <c r="J236" s="810"/>
      <c r="K236" s="810"/>
      <c r="L236" s="810"/>
      <c r="M236" s="810"/>
      <c r="N236" s="810"/>
      <c r="O236" s="810"/>
      <c r="P236" s="810"/>
      <c r="Q236" s="810"/>
      <c r="R236" s="810"/>
      <c r="S236" s="810"/>
      <c r="T236" s="810"/>
      <c r="U236" s="810"/>
      <c r="V236" s="810"/>
      <c r="W236" s="779"/>
    </row>
    <row r="237" spans="1:23" s="775" customFormat="1" ht="8.1" customHeight="1" x14ac:dyDescent="0.25">
      <c r="A237" s="1408" t="s">
        <v>1371</v>
      </c>
      <c r="B237" s="1473"/>
      <c r="C237" s="1476" t="s">
        <v>1236</v>
      </c>
      <c r="D237" s="1411"/>
      <c r="E237" s="1411"/>
      <c r="F237" s="1411"/>
      <c r="G237" s="1477"/>
      <c r="H237" s="799" t="s">
        <v>970</v>
      </c>
      <c r="I237" s="1093"/>
      <c r="J237" s="810"/>
      <c r="K237" s="810"/>
      <c r="L237" s="810"/>
      <c r="M237" s="810"/>
      <c r="N237" s="810"/>
      <c r="O237" s="810"/>
      <c r="P237" s="810"/>
      <c r="Q237" s="810"/>
      <c r="R237" s="810"/>
      <c r="S237" s="810"/>
      <c r="T237" s="810"/>
      <c r="U237" s="810"/>
      <c r="V237" s="810"/>
      <c r="W237" s="779"/>
    </row>
    <row r="238" spans="1:23" s="775" customFormat="1" ht="8.1" customHeight="1" x14ac:dyDescent="0.25">
      <c r="A238" s="1408" t="s">
        <v>1372</v>
      </c>
      <c r="B238" s="1473"/>
      <c r="C238" s="1476" t="s">
        <v>1373</v>
      </c>
      <c r="D238" s="1411"/>
      <c r="E238" s="1411"/>
      <c r="F238" s="1411"/>
      <c r="G238" s="1477"/>
      <c r="H238" s="799" t="s">
        <v>970</v>
      </c>
      <c r="I238" s="1093"/>
      <c r="J238" s="810"/>
      <c r="K238" s="810"/>
      <c r="L238" s="810">
        <f>K238*104.4/100</f>
        <v>0</v>
      </c>
      <c r="M238" s="810"/>
      <c r="N238" s="810">
        <f>L238*104.2/100</f>
        <v>0</v>
      </c>
      <c r="O238" s="810"/>
      <c r="P238" s="810">
        <f>N238*104.1/100</f>
        <v>0</v>
      </c>
      <c r="Q238" s="810"/>
      <c r="R238" s="810">
        <f>P238*104.1/100</f>
        <v>0</v>
      </c>
      <c r="S238" s="810"/>
      <c r="T238" s="810">
        <f>P238*104.1/100</f>
        <v>0</v>
      </c>
      <c r="U238" s="810"/>
      <c r="V238" s="810">
        <f>L238+N238+P238+R238+T238</f>
        <v>0</v>
      </c>
      <c r="W238" s="779"/>
    </row>
    <row r="239" spans="1:23" s="775" customFormat="1" ht="16.5" customHeight="1" x14ac:dyDescent="0.25">
      <c r="A239" s="1478" t="s">
        <v>1374</v>
      </c>
      <c r="B239" s="1479"/>
      <c r="C239" s="1480" t="s">
        <v>1375</v>
      </c>
      <c r="D239" s="1481"/>
      <c r="E239" s="1481"/>
      <c r="F239" s="1481"/>
      <c r="G239" s="1482"/>
      <c r="H239" s="799" t="s">
        <v>970</v>
      </c>
      <c r="I239" s="816">
        <f>I164-I182</f>
        <v>132.066</v>
      </c>
      <c r="J239" s="817">
        <f t="shared" ref="J239:V239" si="86">J164-J182</f>
        <v>136.50200000000001</v>
      </c>
      <c r="K239" s="817">
        <f t="shared" si="86"/>
        <v>88.731999999999999</v>
      </c>
      <c r="L239" s="817">
        <f>L164-L182</f>
        <v>210.083</v>
      </c>
      <c r="M239" s="817">
        <f t="shared" si="86"/>
        <v>210.083</v>
      </c>
      <c r="N239" s="817">
        <f t="shared" si="86"/>
        <v>177.95500000000001</v>
      </c>
      <c r="O239" s="817">
        <f t="shared" si="86"/>
        <v>269.58100000000002</v>
      </c>
      <c r="P239" s="817">
        <f t="shared" si="86"/>
        <v>209.613</v>
      </c>
      <c r="Q239" s="817">
        <f t="shared" si="86"/>
        <v>545.99699999999996</v>
      </c>
      <c r="R239" s="817">
        <f>R164-R182</f>
        <v>241.488</v>
      </c>
      <c r="S239" s="817">
        <f>S164-S182</f>
        <v>259.488</v>
      </c>
      <c r="T239" s="817">
        <f>T164-T182</f>
        <v>244.56200000000001</v>
      </c>
      <c r="U239" s="817">
        <f>U164-U182</f>
        <v>341.387</v>
      </c>
      <c r="V239" s="817">
        <f t="shared" si="86"/>
        <v>275.995</v>
      </c>
      <c r="W239" s="818">
        <f>W164-W182</f>
        <v>0</v>
      </c>
    </row>
    <row r="240" spans="1:23" s="775" customFormat="1" ht="17.25" customHeight="1" x14ac:dyDescent="0.25">
      <c r="A240" s="1478" t="s">
        <v>1376</v>
      </c>
      <c r="B240" s="1479"/>
      <c r="C240" s="1480" t="s">
        <v>1377</v>
      </c>
      <c r="D240" s="1481"/>
      <c r="E240" s="1481"/>
      <c r="F240" s="1481"/>
      <c r="G240" s="1482"/>
      <c r="H240" s="799" t="s">
        <v>970</v>
      </c>
      <c r="I240" s="1093">
        <f>I200-I207</f>
        <v>-37.893000000000001</v>
      </c>
      <c r="J240" s="810">
        <f t="shared" ref="J240:W240" si="87">J200-J207</f>
        <v>-26.19</v>
      </c>
      <c r="K240" s="810">
        <f t="shared" si="87"/>
        <v>-84.944999999999993</v>
      </c>
      <c r="L240" s="810">
        <f t="shared" si="87"/>
        <v>-59.88</v>
      </c>
      <c r="M240" s="810">
        <f t="shared" si="87"/>
        <v>-60.49</v>
      </c>
      <c r="N240" s="810">
        <f t="shared" si="87"/>
        <v>-58.9</v>
      </c>
      <c r="O240" s="810">
        <f t="shared" si="87"/>
        <v>-102.25</v>
      </c>
      <c r="P240" s="810">
        <f t="shared" si="87"/>
        <v>-55.93</v>
      </c>
      <c r="Q240" s="810">
        <f t="shared" si="87"/>
        <v>-86.43</v>
      </c>
      <c r="R240" s="810">
        <f>R200-R207</f>
        <v>-54.68</v>
      </c>
      <c r="S240" s="810">
        <f>S200-S207</f>
        <v>-88.21</v>
      </c>
      <c r="T240" s="810">
        <f>T200-T207</f>
        <v>-63.38</v>
      </c>
      <c r="U240" s="810">
        <f>U200-U207</f>
        <v>-96.56</v>
      </c>
      <c r="V240" s="810">
        <f t="shared" si="87"/>
        <v>-292.77</v>
      </c>
      <c r="W240" s="1094">
        <f t="shared" si="87"/>
        <v>-433.93</v>
      </c>
    </row>
    <row r="241" spans="1:23" s="775" customFormat="1" ht="8.4499999999999993" customHeight="1" x14ac:dyDescent="0.25">
      <c r="A241" s="1408" t="s">
        <v>1378</v>
      </c>
      <c r="B241" s="1473"/>
      <c r="C241" s="1476" t="s">
        <v>1379</v>
      </c>
      <c r="D241" s="1411"/>
      <c r="E241" s="1411"/>
      <c r="F241" s="1411"/>
      <c r="G241" s="1477"/>
      <c r="H241" s="799" t="s">
        <v>970</v>
      </c>
      <c r="I241" s="1093"/>
      <c r="J241" s="810">
        <f>J240</f>
        <v>-26.19</v>
      </c>
      <c r="K241" s="810">
        <f>K240</f>
        <v>-84.944999999999993</v>
      </c>
      <c r="L241" s="810">
        <f t="shared" ref="L241:V241" si="88">L240</f>
        <v>-59.88</v>
      </c>
      <c r="M241" s="810">
        <f t="shared" si="88"/>
        <v>-60.49</v>
      </c>
      <c r="N241" s="810">
        <f t="shared" si="88"/>
        <v>-58.9</v>
      </c>
      <c r="O241" s="810">
        <f t="shared" si="88"/>
        <v>-102.25</v>
      </c>
      <c r="P241" s="810">
        <f t="shared" si="88"/>
        <v>-55.93</v>
      </c>
      <c r="Q241" s="810">
        <f t="shared" si="88"/>
        <v>-86.43</v>
      </c>
      <c r="R241" s="810">
        <f>R240</f>
        <v>-54.68</v>
      </c>
      <c r="S241" s="810">
        <f>S240</f>
        <v>-88.21</v>
      </c>
      <c r="T241" s="810">
        <f>T240</f>
        <v>-63.38</v>
      </c>
      <c r="U241" s="810">
        <f>U240</f>
        <v>-96.56</v>
      </c>
      <c r="V241" s="810">
        <f t="shared" si="88"/>
        <v>-292.77</v>
      </c>
      <c r="W241" s="779"/>
    </row>
    <row r="242" spans="1:23" s="775" customFormat="1" ht="8.4499999999999993" customHeight="1" x14ac:dyDescent="0.25">
      <c r="A242" s="1408" t="s">
        <v>1380</v>
      </c>
      <c r="B242" s="1473"/>
      <c r="C242" s="1476" t="s">
        <v>1381</v>
      </c>
      <c r="D242" s="1411"/>
      <c r="E242" s="1411"/>
      <c r="F242" s="1411"/>
      <c r="G242" s="1477"/>
      <c r="H242" s="799" t="s">
        <v>970</v>
      </c>
      <c r="I242" s="1093"/>
      <c r="J242" s="810"/>
      <c r="K242" s="810"/>
      <c r="L242" s="810">
        <f>K242*104.4/100</f>
        <v>0</v>
      </c>
      <c r="M242" s="810"/>
      <c r="N242" s="810">
        <f>L242*104.2/100</f>
        <v>0</v>
      </c>
      <c r="O242" s="810"/>
      <c r="P242" s="810">
        <f>N242*104.1/100</f>
        <v>0</v>
      </c>
      <c r="Q242" s="810"/>
      <c r="R242" s="810">
        <f>P242*104.1/100</f>
        <v>0</v>
      </c>
      <c r="S242" s="810"/>
      <c r="T242" s="810">
        <f>P242*104.1/100</f>
        <v>0</v>
      </c>
      <c r="U242" s="810"/>
      <c r="V242" s="810">
        <f>L242+N242+P242</f>
        <v>0</v>
      </c>
      <c r="W242" s="779"/>
    </row>
    <row r="243" spans="1:23" s="775" customFormat="1" ht="16.5" customHeight="1" x14ac:dyDescent="0.25">
      <c r="A243" s="1478" t="s">
        <v>1382</v>
      </c>
      <c r="B243" s="1479"/>
      <c r="C243" s="1480" t="s">
        <v>1383</v>
      </c>
      <c r="D243" s="1481"/>
      <c r="E243" s="1481"/>
      <c r="F243" s="1481"/>
      <c r="G243" s="1482"/>
      <c r="H243" s="799" t="s">
        <v>970</v>
      </c>
      <c r="I243" s="1093">
        <f>I219-I232</f>
        <v>0</v>
      </c>
      <c r="J243" s="810">
        <f t="shared" ref="J243:W243" si="89">J219-J232</f>
        <v>0</v>
      </c>
      <c r="K243" s="810">
        <f t="shared" si="89"/>
        <v>0</v>
      </c>
      <c r="L243" s="810">
        <f t="shared" si="89"/>
        <v>0</v>
      </c>
      <c r="M243" s="810">
        <f t="shared" si="89"/>
        <v>0</v>
      </c>
      <c r="N243" s="810">
        <f t="shared" si="89"/>
        <v>0</v>
      </c>
      <c r="O243" s="810">
        <f t="shared" si="89"/>
        <v>0</v>
      </c>
      <c r="P243" s="810">
        <f t="shared" si="89"/>
        <v>0</v>
      </c>
      <c r="Q243" s="810">
        <f t="shared" si="89"/>
        <v>0</v>
      </c>
      <c r="R243" s="810">
        <f>R219-R232</f>
        <v>0</v>
      </c>
      <c r="S243" s="810">
        <f>S219-S232</f>
        <v>0</v>
      </c>
      <c r="T243" s="810">
        <f>T219-T232</f>
        <v>0</v>
      </c>
      <c r="U243" s="810">
        <f>U219-U232</f>
        <v>0</v>
      </c>
      <c r="V243" s="810">
        <f t="shared" si="89"/>
        <v>0</v>
      </c>
      <c r="W243" s="1094">
        <f t="shared" si="89"/>
        <v>0</v>
      </c>
    </row>
    <row r="244" spans="1:23" s="775" customFormat="1" ht="8.4499999999999993" customHeight="1" x14ac:dyDescent="0.25">
      <c r="A244" s="1408" t="s">
        <v>1384</v>
      </c>
      <c r="B244" s="1473"/>
      <c r="C244" s="1476" t="s">
        <v>1385</v>
      </c>
      <c r="D244" s="1411"/>
      <c r="E244" s="1411"/>
      <c r="F244" s="1411"/>
      <c r="G244" s="1477"/>
      <c r="H244" s="799" t="s">
        <v>970</v>
      </c>
      <c r="I244" s="1093">
        <f>I221-I233</f>
        <v>0</v>
      </c>
      <c r="J244" s="810">
        <f t="shared" ref="J244:W244" si="90">J221-J233</f>
        <v>0</v>
      </c>
      <c r="K244" s="810">
        <f t="shared" si="90"/>
        <v>0</v>
      </c>
      <c r="L244" s="810">
        <f t="shared" si="90"/>
        <v>0</v>
      </c>
      <c r="M244" s="810">
        <f t="shared" si="90"/>
        <v>0</v>
      </c>
      <c r="N244" s="810">
        <f t="shared" si="90"/>
        <v>0</v>
      </c>
      <c r="O244" s="810">
        <f t="shared" si="90"/>
        <v>0</v>
      </c>
      <c r="P244" s="810">
        <f t="shared" si="90"/>
        <v>0</v>
      </c>
      <c r="Q244" s="810">
        <f t="shared" si="90"/>
        <v>0</v>
      </c>
      <c r="R244" s="810">
        <f>R221-R233</f>
        <v>0</v>
      </c>
      <c r="S244" s="810">
        <f>S221-S233</f>
        <v>0</v>
      </c>
      <c r="T244" s="810">
        <f>T221-T233</f>
        <v>0</v>
      </c>
      <c r="U244" s="810">
        <f>U221-U233</f>
        <v>0</v>
      </c>
      <c r="V244" s="810">
        <f t="shared" si="90"/>
        <v>0</v>
      </c>
      <c r="W244" s="1094">
        <f t="shared" si="90"/>
        <v>0</v>
      </c>
    </row>
    <row r="245" spans="1:23" s="775" customFormat="1" ht="8.4499999999999993" customHeight="1" x14ac:dyDescent="0.25">
      <c r="A245" s="1408" t="s">
        <v>1386</v>
      </c>
      <c r="B245" s="1473"/>
      <c r="C245" s="1476" t="s">
        <v>1387</v>
      </c>
      <c r="D245" s="1411"/>
      <c r="E245" s="1411"/>
      <c r="F245" s="1411"/>
      <c r="G245" s="1477"/>
      <c r="H245" s="799" t="s">
        <v>970</v>
      </c>
      <c r="I245" s="1093"/>
      <c r="J245" s="810"/>
      <c r="K245" s="810"/>
      <c r="L245" s="810"/>
      <c r="M245" s="810"/>
      <c r="N245" s="810"/>
      <c r="O245" s="810"/>
      <c r="P245" s="810"/>
      <c r="Q245" s="810"/>
      <c r="R245" s="810"/>
      <c r="S245" s="810"/>
      <c r="T245" s="810"/>
      <c r="U245" s="810"/>
      <c r="V245" s="810"/>
      <c r="W245" s="779"/>
    </row>
    <row r="246" spans="1:23" s="775" customFormat="1" ht="9" customHeight="1" x14ac:dyDescent="0.25">
      <c r="A246" s="1478" t="s">
        <v>1388</v>
      </c>
      <c r="B246" s="1479"/>
      <c r="C246" s="1480" t="s">
        <v>1389</v>
      </c>
      <c r="D246" s="1481"/>
      <c r="E246" s="1481"/>
      <c r="F246" s="1481"/>
      <c r="G246" s="1482"/>
      <c r="H246" s="799" t="s">
        <v>970</v>
      </c>
      <c r="I246" s="1093"/>
      <c r="J246" s="810"/>
      <c r="K246" s="810"/>
      <c r="L246" s="810"/>
      <c r="M246" s="810"/>
      <c r="N246" s="810"/>
      <c r="O246" s="810"/>
      <c r="P246" s="810"/>
      <c r="Q246" s="810"/>
      <c r="R246" s="810"/>
      <c r="S246" s="810"/>
      <c r="T246" s="810"/>
      <c r="U246" s="810"/>
      <c r="V246" s="810"/>
      <c r="W246" s="779"/>
    </row>
    <row r="247" spans="1:23" s="775" customFormat="1" ht="12.75" customHeight="1" x14ac:dyDescent="0.25">
      <c r="A247" s="1478" t="s">
        <v>1390</v>
      </c>
      <c r="B247" s="1479"/>
      <c r="C247" s="1480" t="s">
        <v>1391</v>
      </c>
      <c r="D247" s="1481"/>
      <c r="E247" s="1481"/>
      <c r="F247" s="1481"/>
      <c r="G247" s="1482"/>
      <c r="H247" s="799" t="s">
        <v>970</v>
      </c>
      <c r="I247" s="1093">
        <f>I239+I240+I243+I246</f>
        <v>94.173000000000002</v>
      </c>
      <c r="J247" s="810">
        <f t="shared" ref="J247:V247" si="91">J239+J240+J243+J246</f>
        <v>110.312</v>
      </c>
      <c r="K247" s="810">
        <f t="shared" si="91"/>
        <v>3.7869999999999999</v>
      </c>
      <c r="L247" s="810">
        <f t="shared" si="91"/>
        <v>150.203</v>
      </c>
      <c r="M247" s="810">
        <f t="shared" si="91"/>
        <v>149.59299999999999</v>
      </c>
      <c r="N247" s="810">
        <f t="shared" si="91"/>
        <v>119.05500000000001</v>
      </c>
      <c r="O247" s="810">
        <f t="shared" si="91"/>
        <v>167.33099999999999</v>
      </c>
      <c r="P247" s="810">
        <f t="shared" si="91"/>
        <v>153.68299999999999</v>
      </c>
      <c r="Q247" s="810">
        <f t="shared" si="91"/>
        <v>459.56700000000001</v>
      </c>
      <c r="R247" s="810">
        <f>R239+R240+R243+R246</f>
        <v>186.80799999999999</v>
      </c>
      <c r="S247" s="810">
        <f>S239+S240+S243+S246</f>
        <v>171.27799999999999</v>
      </c>
      <c r="T247" s="810">
        <f>T239+T240+T243+T246</f>
        <v>181.18199999999999</v>
      </c>
      <c r="U247" s="810">
        <f>U239+U240+U243+U246</f>
        <v>244.827</v>
      </c>
      <c r="V247" s="810">
        <f t="shared" si="91"/>
        <v>-16.774999999999999</v>
      </c>
      <c r="W247" s="1094">
        <f>W239+W240+W243+W246</f>
        <v>-433.93</v>
      </c>
    </row>
    <row r="248" spans="1:23" s="775" customFormat="1" ht="9" customHeight="1" x14ac:dyDescent="0.25">
      <c r="A248" s="1478" t="s">
        <v>1392</v>
      </c>
      <c r="B248" s="1479"/>
      <c r="C248" s="1480" t="s">
        <v>1393</v>
      </c>
      <c r="D248" s="1481"/>
      <c r="E248" s="1481"/>
      <c r="F248" s="1481"/>
      <c r="G248" s="1482"/>
      <c r="H248" s="799" t="s">
        <v>970</v>
      </c>
      <c r="I248" s="1093">
        <v>6.22</v>
      </c>
      <c r="J248" s="810">
        <f>I249</f>
        <v>138.286</v>
      </c>
      <c r="K248" s="810">
        <f>J249</f>
        <v>248.59800000000001</v>
      </c>
      <c r="L248" s="810">
        <f>K249</f>
        <v>252.38499999999999</v>
      </c>
      <c r="M248" s="810">
        <f t="shared" ref="M248:U248" si="92">K249</f>
        <v>252.38499999999999</v>
      </c>
      <c r="N248" s="810">
        <f t="shared" si="92"/>
        <v>402.58800000000002</v>
      </c>
      <c r="O248" s="810">
        <f t="shared" si="92"/>
        <v>401.97800000000001</v>
      </c>
      <c r="P248" s="810">
        <f t="shared" si="92"/>
        <v>521.64300000000003</v>
      </c>
      <c r="Q248" s="810">
        <f t="shared" si="92"/>
        <v>569.30899999999997</v>
      </c>
      <c r="R248" s="810">
        <f t="shared" si="92"/>
        <v>675.32600000000002</v>
      </c>
      <c r="S248" s="810">
        <f t="shared" si="92"/>
        <v>1028.876</v>
      </c>
      <c r="T248" s="810">
        <f t="shared" si="92"/>
        <v>862.13400000000001</v>
      </c>
      <c r="U248" s="810">
        <f t="shared" si="92"/>
        <v>1200.154</v>
      </c>
      <c r="V248" s="810"/>
      <c r="W248" s="779"/>
    </row>
    <row r="249" spans="1:23" s="775" customFormat="1" ht="9" customHeight="1" thickBot="1" x14ac:dyDescent="0.3">
      <c r="A249" s="1485" t="s">
        <v>1394</v>
      </c>
      <c r="B249" s="1486"/>
      <c r="C249" s="1487" t="s">
        <v>1395</v>
      </c>
      <c r="D249" s="1488"/>
      <c r="E249" s="1488"/>
      <c r="F249" s="1488"/>
      <c r="G249" s="1489"/>
      <c r="H249" s="825" t="s">
        <v>970</v>
      </c>
      <c r="I249" s="1097">
        <f>I248+I164-I182+I243</f>
        <v>138.286</v>
      </c>
      <c r="J249" s="811">
        <f>J248+J164-J182+J243+J240</f>
        <v>248.59800000000001</v>
      </c>
      <c r="K249" s="811">
        <f>K248+K164-K182+K243+K240</f>
        <v>252.38499999999999</v>
      </c>
      <c r="L249" s="811">
        <f t="shared" ref="L249:V249" si="93">L248+L164-L182+L243+L240</f>
        <v>402.58800000000002</v>
      </c>
      <c r="M249" s="811">
        <f t="shared" si="93"/>
        <v>401.97800000000001</v>
      </c>
      <c r="N249" s="811">
        <f t="shared" si="93"/>
        <v>521.64300000000003</v>
      </c>
      <c r="O249" s="811">
        <f t="shared" si="93"/>
        <v>569.30899999999997</v>
      </c>
      <c r="P249" s="811">
        <f t="shared" si="93"/>
        <v>675.32600000000002</v>
      </c>
      <c r="Q249" s="811">
        <f t="shared" si="93"/>
        <v>1028.876</v>
      </c>
      <c r="R249" s="811">
        <f>R248+R164-R182+R243+R240</f>
        <v>862.13400000000001</v>
      </c>
      <c r="S249" s="811">
        <f>S248+S164-S182+S243+S240</f>
        <v>1200.154</v>
      </c>
      <c r="T249" s="811">
        <f>T248+T164-T182+T243+T240</f>
        <v>1043.316</v>
      </c>
      <c r="U249" s="811">
        <f>U248+U164-U182+U243+U240</f>
        <v>1444.981</v>
      </c>
      <c r="V249" s="811">
        <f t="shared" si="93"/>
        <v>-16.774999999999999</v>
      </c>
      <c r="W249" s="1102">
        <f>W248+W164-W182+W243</f>
        <v>0</v>
      </c>
    </row>
    <row r="250" spans="1:23" s="775" customFormat="1" ht="9" customHeight="1" x14ac:dyDescent="0.25">
      <c r="A250" s="1490" t="s">
        <v>1396</v>
      </c>
      <c r="B250" s="1491"/>
      <c r="C250" s="1492" t="s">
        <v>1167</v>
      </c>
      <c r="D250" s="1493"/>
      <c r="E250" s="1493"/>
      <c r="F250" s="1493"/>
      <c r="G250" s="1494"/>
      <c r="H250" s="826" t="s">
        <v>830</v>
      </c>
      <c r="I250" s="1103"/>
      <c r="J250" s="809"/>
      <c r="K250" s="809"/>
      <c r="L250" s="809"/>
      <c r="M250" s="809"/>
      <c r="N250" s="809"/>
      <c r="O250" s="809"/>
      <c r="P250" s="809"/>
      <c r="Q250" s="809"/>
      <c r="R250" s="809"/>
      <c r="S250" s="809"/>
      <c r="T250" s="809"/>
      <c r="U250" s="809"/>
      <c r="V250" s="809"/>
      <c r="W250" s="827"/>
    </row>
    <row r="251" spans="1:23" s="775" customFormat="1" ht="8.4499999999999993" customHeight="1" x14ac:dyDescent="0.25">
      <c r="A251" s="1408" t="s">
        <v>1397</v>
      </c>
      <c r="B251" s="1473"/>
      <c r="C251" s="1476" t="s">
        <v>1398</v>
      </c>
      <c r="D251" s="1411"/>
      <c r="E251" s="1411"/>
      <c r="F251" s="1411"/>
      <c r="G251" s="1477"/>
      <c r="H251" s="799" t="s">
        <v>970</v>
      </c>
      <c r="I251" s="1093">
        <f>I262+I278</f>
        <v>0</v>
      </c>
      <c r="J251" s="810">
        <f t="shared" ref="J251:W251" si="94">J262+J278</f>
        <v>0</v>
      </c>
      <c r="K251" s="810">
        <f t="shared" si="94"/>
        <v>0</v>
      </c>
      <c r="L251" s="810">
        <f t="shared" si="94"/>
        <v>0</v>
      </c>
      <c r="M251" s="810">
        <f t="shared" si="94"/>
        <v>0</v>
      </c>
      <c r="N251" s="810">
        <f t="shared" si="94"/>
        <v>0</v>
      </c>
      <c r="O251" s="810">
        <f t="shared" si="94"/>
        <v>0</v>
      </c>
      <c r="P251" s="810">
        <f t="shared" si="94"/>
        <v>0</v>
      </c>
      <c r="Q251" s="810">
        <f t="shared" si="94"/>
        <v>0</v>
      </c>
      <c r="R251" s="810">
        <f>R262+R278</f>
        <v>0</v>
      </c>
      <c r="S251" s="810">
        <f>S262+S278</f>
        <v>0</v>
      </c>
      <c r="T251" s="810">
        <f>T262+T278</f>
        <v>0</v>
      </c>
      <c r="U251" s="810">
        <f>U262+U278</f>
        <v>0</v>
      </c>
      <c r="V251" s="810">
        <f t="shared" si="94"/>
        <v>0</v>
      </c>
      <c r="W251" s="1096">
        <f t="shared" si="94"/>
        <v>0</v>
      </c>
    </row>
    <row r="252" spans="1:23" s="775" customFormat="1" ht="8.1" customHeight="1" x14ac:dyDescent="0.25">
      <c r="A252" s="1408" t="s">
        <v>1399</v>
      </c>
      <c r="B252" s="1473"/>
      <c r="C252" s="1474" t="s">
        <v>1400</v>
      </c>
      <c r="D252" s="1421"/>
      <c r="E252" s="1421"/>
      <c r="F252" s="1421"/>
      <c r="G252" s="1475"/>
      <c r="H252" s="799" t="s">
        <v>970</v>
      </c>
      <c r="I252" s="1093"/>
      <c r="J252" s="810"/>
      <c r="K252" s="810"/>
      <c r="L252" s="810"/>
      <c r="M252" s="810"/>
      <c r="N252" s="810"/>
      <c r="O252" s="810"/>
      <c r="P252" s="810"/>
      <c r="Q252" s="810"/>
      <c r="R252" s="810"/>
      <c r="S252" s="810"/>
      <c r="T252" s="810"/>
      <c r="U252" s="810"/>
      <c r="V252" s="810"/>
      <c r="W252" s="779"/>
    </row>
    <row r="253" spans="1:23" s="775" customFormat="1" ht="8.1" customHeight="1" x14ac:dyDescent="0.25">
      <c r="A253" s="1408" t="s">
        <v>1401</v>
      </c>
      <c r="B253" s="1473"/>
      <c r="C253" s="1483" t="s">
        <v>1402</v>
      </c>
      <c r="D253" s="1425"/>
      <c r="E253" s="1425"/>
      <c r="F253" s="1425"/>
      <c r="G253" s="1484"/>
      <c r="H253" s="799" t="s">
        <v>970</v>
      </c>
      <c r="I253" s="1093"/>
      <c r="J253" s="810"/>
      <c r="K253" s="810"/>
      <c r="L253" s="810"/>
      <c r="M253" s="810"/>
      <c r="N253" s="810"/>
      <c r="O253" s="810"/>
      <c r="P253" s="810"/>
      <c r="Q253" s="810"/>
      <c r="R253" s="810"/>
      <c r="S253" s="810"/>
      <c r="T253" s="810"/>
      <c r="U253" s="810"/>
      <c r="V253" s="810"/>
      <c r="W253" s="779"/>
    </row>
    <row r="254" spans="1:23" s="775" customFormat="1" ht="16.5" customHeight="1" x14ac:dyDescent="0.25">
      <c r="A254" s="1408" t="s">
        <v>1403</v>
      </c>
      <c r="B254" s="1473"/>
      <c r="C254" s="1483" t="s">
        <v>1099</v>
      </c>
      <c r="D254" s="1425"/>
      <c r="E254" s="1425"/>
      <c r="F254" s="1425"/>
      <c r="G254" s="1484"/>
      <c r="H254" s="799" t="s">
        <v>970</v>
      </c>
      <c r="I254" s="1093"/>
      <c r="J254" s="810"/>
      <c r="K254" s="810"/>
      <c r="L254" s="810"/>
      <c r="M254" s="810"/>
      <c r="N254" s="810"/>
      <c r="O254" s="810"/>
      <c r="P254" s="810"/>
      <c r="Q254" s="810"/>
      <c r="R254" s="810"/>
      <c r="S254" s="810"/>
      <c r="T254" s="810"/>
      <c r="U254" s="810"/>
      <c r="V254" s="810"/>
      <c r="W254" s="779"/>
    </row>
    <row r="255" spans="1:23" s="775" customFormat="1" ht="8.1" customHeight="1" x14ac:dyDescent="0.25">
      <c r="A255" s="1408" t="s">
        <v>1404</v>
      </c>
      <c r="B255" s="1473"/>
      <c r="C255" s="1495" t="s">
        <v>1402</v>
      </c>
      <c r="D255" s="1427"/>
      <c r="E255" s="1427"/>
      <c r="F255" s="1427"/>
      <c r="G255" s="1496"/>
      <c r="H255" s="799" t="s">
        <v>970</v>
      </c>
      <c r="I255" s="1093"/>
      <c r="J255" s="810"/>
      <c r="K255" s="810"/>
      <c r="L255" s="810"/>
      <c r="M255" s="810"/>
      <c r="N255" s="810"/>
      <c r="O255" s="810"/>
      <c r="P255" s="810"/>
      <c r="Q255" s="810"/>
      <c r="R255" s="810"/>
      <c r="S255" s="810"/>
      <c r="T255" s="810"/>
      <c r="U255" s="810"/>
      <c r="V255" s="810"/>
      <c r="W255" s="779"/>
    </row>
    <row r="256" spans="1:23" s="775" customFormat="1" ht="16.5" customHeight="1" x14ac:dyDescent="0.25">
      <c r="A256" s="1408" t="s">
        <v>1405</v>
      </c>
      <c r="B256" s="1473"/>
      <c r="C256" s="1483" t="s">
        <v>1100</v>
      </c>
      <c r="D256" s="1425"/>
      <c r="E256" s="1425"/>
      <c r="F256" s="1425"/>
      <c r="G256" s="1484"/>
      <c r="H256" s="799" t="s">
        <v>970</v>
      </c>
      <c r="I256" s="1093"/>
      <c r="J256" s="810"/>
      <c r="K256" s="810"/>
      <c r="L256" s="810"/>
      <c r="M256" s="810"/>
      <c r="N256" s="810"/>
      <c r="O256" s="810"/>
      <c r="P256" s="810"/>
      <c r="Q256" s="810"/>
      <c r="R256" s="810"/>
      <c r="S256" s="810"/>
      <c r="T256" s="810"/>
      <c r="U256" s="810"/>
      <c r="V256" s="810"/>
      <c r="W256" s="779"/>
    </row>
    <row r="257" spans="1:23" s="775" customFormat="1" ht="8.1" customHeight="1" x14ac:dyDescent="0.25">
      <c r="A257" s="1408" t="s">
        <v>1406</v>
      </c>
      <c r="B257" s="1473"/>
      <c r="C257" s="1495" t="s">
        <v>1402</v>
      </c>
      <c r="D257" s="1427"/>
      <c r="E257" s="1427"/>
      <c r="F257" s="1427"/>
      <c r="G257" s="1496"/>
      <c r="H257" s="799" t="s">
        <v>970</v>
      </c>
      <c r="I257" s="1093"/>
      <c r="J257" s="810"/>
      <c r="K257" s="810"/>
      <c r="L257" s="810"/>
      <c r="M257" s="810"/>
      <c r="N257" s="810"/>
      <c r="O257" s="810"/>
      <c r="P257" s="810"/>
      <c r="Q257" s="810"/>
      <c r="R257" s="810"/>
      <c r="S257" s="810"/>
      <c r="T257" s="810"/>
      <c r="U257" s="810"/>
      <c r="V257" s="810"/>
      <c r="W257" s="779"/>
    </row>
    <row r="258" spans="1:23" s="775" customFormat="1" ht="16.5" customHeight="1" x14ac:dyDescent="0.25">
      <c r="A258" s="1408" t="s">
        <v>1407</v>
      </c>
      <c r="B258" s="1473"/>
      <c r="C258" s="1483" t="s">
        <v>1101</v>
      </c>
      <c r="D258" s="1425"/>
      <c r="E258" s="1425"/>
      <c r="F258" s="1425"/>
      <c r="G258" s="1484"/>
      <c r="H258" s="799" t="s">
        <v>970</v>
      </c>
      <c r="I258" s="1093"/>
      <c r="J258" s="810"/>
      <c r="K258" s="810"/>
      <c r="L258" s="810"/>
      <c r="M258" s="810"/>
      <c r="N258" s="810"/>
      <c r="O258" s="810"/>
      <c r="P258" s="810"/>
      <c r="Q258" s="810"/>
      <c r="R258" s="810"/>
      <c r="S258" s="810"/>
      <c r="T258" s="810"/>
      <c r="U258" s="810"/>
      <c r="V258" s="810"/>
      <c r="W258" s="779"/>
    </row>
    <row r="259" spans="1:23" s="775" customFormat="1" ht="8.1" customHeight="1" x14ac:dyDescent="0.25">
      <c r="A259" s="1408" t="s">
        <v>1408</v>
      </c>
      <c r="B259" s="1473"/>
      <c r="C259" s="1495" t="s">
        <v>1402</v>
      </c>
      <c r="D259" s="1427"/>
      <c r="E259" s="1427"/>
      <c r="F259" s="1427"/>
      <c r="G259" s="1496"/>
      <c r="H259" s="799" t="s">
        <v>970</v>
      </c>
      <c r="I259" s="1093"/>
      <c r="J259" s="810"/>
      <c r="K259" s="810"/>
      <c r="L259" s="810"/>
      <c r="M259" s="810"/>
      <c r="N259" s="810"/>
      <c r="O259" s="810"/>
      <c r="P259" s="810"/>
      <c r="Q259" s="810"/>
      <c r="R259" s="810"/>
      <c r="S259" s="810"/>
      <c r="T259" s="810"/>
      <c r="U259" s="810"/>
      <c r="V259" s="810"/>
      <c r="W259" s="779"/>
    </row>
    <row r="260" spans="1:23" s="775" customFormat="1" ht="8.1" customHeight="1" x14ac:dyDescent="0.25">
      <c r="A260" s="1408" t="s">
        <v>1409</v>
      </c>
      <c r="B260" s="1473"/>
      <c r="C260" s="1474" t="s">
        <v>1410</v>
      </c>
      <c r="D260" s="1421"/>
      <c r="E260" s="1421"/>
      <c r="F260" s="1421"/>
      <c r="G260" s="1475"/>
      <c r="H260" s="799" t="s">
        <v>970</v>
      </c>
      <c r="I260" s="1093"/>
      <c r="J260" s="810"/>
      <c r="K260" s="810"/>
      <c r="L260" s="810"/>
      <c r="M260" s="810"/>
      <c r="N260" s="810"/>
      <c r="O260" s="810"/>
      <c r="P260" s="810"/>
      <c r="Q260" s="810"/>
      <c r="R260" s="810"/>
      <c r="S260" s="810"/>
      <c r="T260" s="810"/>
      <c r="U260" s="810"/>
      <c r="V260" s="810"/>
      <c r="W260" s="779"/>
    </row>
    <row r="261" spans="1:23" s="775" customFormat="1" ht="8.1" customHeight="1" x14ac:dyDescent="0.25">
      <c r="A261" s="1408" t="s">
        <v>1411</v>
      </c>
      <c r="B261" s="1473"/>
      <c r="C261" s="1483" t="s">
        <v>1402</v>
      </c>
      <c r="D261" s="1425"/>
      <c r="E261" s="1425"/>
      <c r="F261" s="1425"/>
      <c r="G261" s="1484"/>
      <c r="H261" s="799" t="s">
        <v>970</v>
      </c>
      <c r="I261" s="1093"/>
      <c r="J261" s="810"/>
      <c r="K261" s="810"/>
      <c r="L261" s="810"/>
      <c r="M261" s="810"/>
      <c r="N261" s="810"/>
      <c r="O261" s="810"/>
      <c r="P261" s="810"/>
      <c r="Q261" s="810"/>
      <c r="R261" s="810"/>
      <c r="S261" s="810"/>
      <c r="T261" s="810"/>
      <c r="U261" s="810"/>
      <c r="V261" s="810"/>
      <c r="W261" s="779"/>
    </row>
    <row r="262" spans="1:23" s="775" customFormat="1" ht="8.1" customHeight="1" x14ac:dyDescent="0.25">
      <c r="A262" s="1408" t="s">
        <v>1412</v>
      </c>
      <c r="B262" s="1473"/>
      <c r="C262" s="1474" t="s">
        <v>1413</v>
      </c>
      <c r="D262" s="1421"/>
      <c r="E262" s="1421"/>
      <c r="F262" s="1421"/>
      <c r="G262" s="1475"/>
      <c r="H262" s="799" t="s">
        <v>970</v>
      </c>
      <c r="I262" s="1093"/>
      <c r="J262" s="810"/>
      <c r="K262" s="810"/>
      <c r="L262" s="810"/>
      <c r="M262" s="810"/>
      <c r="N262" s="810"/>
      <c r="O262" s="810"/>
      <c r="P262" s="810"/>
      <c r="Q262" s="810"/>
      <c r="R262" s="810"/>
      <c r="S262" s="810"/>
      <c r="T262" s="810"/>
      <c r="U262" s="810"/>
      <c r="V262" s="810">
        <f>L262+N262+P262+R262+T262</f>
        <v>0</v>
      </c>
      <c r="W262" s="779"/>
    </row>
    <row r="263" spans="1:23" s="775" customFormat="1" ht="8.1" customHeight="1" x14ac:dyDescent="0.25">
      <c r="A263" s="1408" t="s">
        <v>1414</v>
      </c>
      <c r="B263" s="1473"/>
      <c r="C263" s="1483" t="s">
        <v>1402</v>
      </c>
      <c r="D263" s="1425"/>
      <c r="E263" s="1425"/>
      <c r="F263" s="1425"/>
      <c r="G263" s="1484"/>
      <c r="H263" s="799" t="s">
        <v>970</v>
      </c>
      <c r="I263" s="1093"/>
      <c r="J263" s="810"/>
      <c r="K263" s="810"/>
      <c r="L263" s="810"/>
      <c r="M263" s="810"/>
      <c r="N263" s="810"/>
      <c r="O263" s="810"/>
      <c r="P263" s="810"/>
      <c r="Q263" s="810"/>
      <c r="R263" s="810"/>
      <c r="S263" s="810"/>
      <c r="T263" s="810"/>
      <c r="U263" s="810"/>
      <c r="V263" s="810">
        <f t="shared" ref="V263:V300" si="95">L263+N263+P263+R263+T263</f>
        <v>0</v>
      </c>
      <c r="W263" s="779"/>
    </row>
    <row r="264" spans="1:23" s="775" customFormat="1" ht="8.1" customHeight="1" x14ac:dyDescent="0.25">
      <c r="A264" s="1408" t="s">
        <v>1415</v>
      </c>
      <c r="B264" s="1473"/>
      <c r="C264" s="1474" t="s">
        <v>1416</v>
      </c>
      <c r="D264" s="1421"/>
      <c r="E264" s="1421"/>
      <c r="F264" s="1421"/>
      <c r="G264" s="1475"/>
      <c r="H264" s="799" t="s">
        <v>970</v>
      </c>
      <c r="I264" s="1093"/>
      <c r="J264" s="810"/>
      <c r="K264" s="810"/>
      <c r="L264" s="810">
        <f t="shared" ref="L264:L291" si="96">K264*104.4/100</f>
        <v>0</v>
      </c>
      <c r="M264" s="810"/>
      <c r="N264" s="810">
        <f t="shared" ref="N264:N291" si="97">L264*104.2/100</f>
        <v>0</v>
      </c>
      <c r="O264" s="810"/>
      <c r="P264" s="810">
        <f t="shared" ref="P264:P291" si="98">N264*104.1/100</f>
        <v>0</v>
      </c>
      <c r="Q264" s="810"/>
      <c r="R264" s="810">
        <f t="shared" ref="R264:R277" si="99">P264*104.1/100</f>
        <v>0</v>
      </c>
      <c r="S264" s="810"/>
      <c r="T264" s="810">
        <f t="shared" ref="T264:T277" si="100">P264*104.1/100</f>
        <v>0</v>
      </c>
      <c r="U264" s="810"/>
      <c r="V264" s="810">
        <f t="shared" si="95"/>
        <v>0</v>
      </c>
      <c r="W264" s="779"/>
    </row>
    <row r="265" spans="1:23" s="775" customFormat="1" ht="8.1" customHeight="1" x14ac:dyDescent="0.25">
      <c r="A265" s="1408" t="s">
        <v>1417</v>
      </c>
      <c r="B265" s="1473"/>
      <c r="C265" s="1483" t="s">
        <v>1402</v>
      </c>
      <c r="D265" s="1425"/>
      <c r="E265" s="1425"/>
      <c r="F265" s="1425"/>
      <c r="G265" s="1484"/>
      <c r="H265" s="799" t="s">
        <v>970</v>
      </c>
      <c r="I265" s="1093"/>
      <c r="J265" s="810"/>
      <c r="K265" s="810"/>
      <c r="L265" s="810">
        <f t="shared" si="96"/>
        <v>0</v>
      </c>
      <c r="M265" s="810"/>
      <c r="N265" s="810">
        <f t="shared" si="97"/>
        <v>0</v>
      </c>
      <c r="O265" s="810"/>
      <c r="P265" s="810">
        <f t="shared" si="98"/>
        <v>0</v>
      </c>
      <c r="Q265" s="810"/>
      <c r="R265" s="810">
        <f t="shared" si="99"/>
        <v>0</v>
      </c>
      <c r="S265" s="810"/>
      <c r="T265" s="810">
        <f t="shared" si="100"/>
        <v>0</v>
      </c>
      <c r="U265" s="810"/>
      <c r="V265" s="810">
        <f t="shared" si="95"/>
        <v>0</v>
      </c>
      <c r="W265" s="779"/>
    </row>
    <row r="266" spans="1:23" s="775" customFormat="1" ht="8.1" customHeight="1" x14ac:dyDescent="0.25">
      <c r="A266" s="1408" t="s">
        <v>1418</v>
      </c>
      <c r="B266" s="1473"/>
      <c r="C266" s="1474" t="s">
        <v>1419</v>
      </c>
      <c r="D266" s="1421"/>
      <c r="E266" s="1421"/>
      <c r="F266" s="1421"/>
      <c r="G266" s="1475"/>
      <c r="H266" s="799" t="s">
        <v>970</v>
      </c>
      <c r="I266" s="1093"/>
      <c r="J266" s="810"/>
      <c r="K266" s="810"/>
      <c r="L266" s="810">
        <f t="shared" si="96"/>
        <v>0</v>
      </c>
      <c r="M266" s="810"/>
      <c r="N266" s="810">
        <f t="shared" si="97"/>
        <v>0</v>
      </c>
      <c r="O266" s="810"/>
      <c r="P266" s="810">
        <f t="shared" si="98"/>
        <v>0</v>
      </c>
      <c r="Q266" s="810"/>
      <c r="R266" s="810">
        <f t="shared" si="99"/>
        <v>0</v>
      </c>
      <c r="S266" s="810"/>
      <c r="T266" s="810">
        <f t="shared" si="100"/>
        <v>0</v>
      </c>
      <c r="U266" s="810"/>
      <c r="V266" s="810">
        <f t="shared" si="95"/>
        <v>0</v>
      </c>
      <c r="W266" s="779"/>
    </row>
    <row r="267" spans="1:23" s="775" customFormat="1" ht="8.1" customHeight="1" x14ac:dyDescent="0.25">
      <c r="A267" s="1408" t="s">
        <v>1420</v>
      </c>
      <c r="B267" s="1473"/>
      <c r="C267" s="1483" t="s">
        <v>1402</v>
      </c>
      <c r="D267" s="1425"/>
      <c r="E267" s="1425"/>
      <c r="F267" s="1425"/>
      <c r="G267" s="1484"/>
      <c r="H267" s="799" t="s">
        <v>970</v>
      </c>
      <c r="I267" s="1093"/>
      <c r="J267" s="810"/>
      <c r="K267" s="810"/>
      <c r="L267" s="810">
        <f t="shared" si="96"/>
        <v>0</v>
      </c>
      <c r="M267" s="810"/>
      <c r="N267" s="810">
        <f t="shared" si="97"/>
        <v>0</v>
      </c>
      <c r="O267" s="810"/>
      <c r="P267" s="810">
        <f t="shared" si="98"/>
        <v>0</v>
      </c>
      <c r="Q267" s="810"/>
      <c r="R267" s="810">
        <f t="shared" si="99"/>
        <v>0</v>
      </c>
      <c r="S267" s="810"/>
      <c r="T267" s="810">
        <f t="shared" si="100"/>
        <v>0</v>
      </c>
      <c r="U267" s="810"/>
      <c r="V267" s="810">
        <f t="shared" si="95"/>
        <v>0</v>
      </c>
      <c r="W267" s="779"/>
    </row>
    <row r="268" spans="1:23" s="775" customFormat="1" ht="8.1" customHeight="1" x14ac:dyDescent="0.25">
      <c r="A268" s="1408" t="s">
        <v>1421</v>
      </c>
      <c r="B268" s="1473"/>
      <c r="C268" s="1474" t="s">
        <v>1422</v>
      </c>
      <c r="D268" s="1421"/>
      <c r="E268" s="1421"/>
      <c r="F268" s="1421"/>
      <c r="G268" s="1475"/>
      <c r="H268" s="799" t="s">
        <v>970</v>
      </c>
      <c r="I268" s="1093"/>
      <c r="J268" s="810"/>
      <c r="K268" s="810"/>
      <c r="L268" s="810">
        <f t="shared" si="96"/>
        <v>0</v>
      </c>
      <c r="M268" s="810"/>
      <c r="N268" s="810">
        <f t="shared" si="97"/>
        <v>0</v>
      </c>
      <c r="O268" s="810"/>
      <c r="P268" s="810">
        <f t="shared" si="98"/>
        <v>0</v>
      </c>
      <c r="Q268" s="810"/>
      <c r="R268" s="810">
        <f t="shared" si="99"/>
        <v>0</v>
      </c>
      <c r="S268" s="810"/>
      <c r="T268" s="810">
        <f t="shared" si="100"/>
        <v>0</v>
      </c>
      <c r="U268" s="810"/>
      <c r="V268" s="810">
        <f t="shared" si="95"/>
        <v>0</v>
      </c>
      <c r="W268" s="779"/>
    </row>
    <row r="269" spans="1:23" s="775" customFormat="1" ht="8.1" customHeight="1" x14ac:dyDescent="0.25">
      <c r="A269" s="1408" t="s">
        <v>1423</v>
      </c>
      <c r="B269" s="1473"/>
      <c r="C269" s="1483" t="s">
        <v>1402</v>
      </c>
      <c r="D269" s="1425"/>
      <c r="E269" s="1425"/>
      <c r="F269" s="1425"/>
      <c r="G269" s="1484"/>
      <c r="H269" s="799" t="s">
        <v>970</v>
      </c>
      <c r="I269" s="1093"/>
      <c r="J269" s="810"/>
      <c r="K269" s="810"/>
      <c r="L269" s="810">
        <f t="shared" si="96"/>
        <v>0</v>
      </c>
      <c r="M269" s="810"/>
      <c r="N269" s="810">
        <f t="shared" si="97"/>
        <v>0</v>
      </c>
      <c r="O269" s="810"/>
      <c r="P269" s="810">
        <f t="shared" si="98"/>
        <v>0</v>
      </c>
      <c r="Q269" s="810"/>
      <c r="R269" s="810">
        <f t="shared" si="99"/>
        <v>0</v>
      </c>
      <c r="S269" s="810"/>
      <c r="T269" s="810">
        <f t="shared" si="100"/>
        <v>0</v>
      </c>
      <c r="U269" s="810"/>
      <c r="V269" s="810">
        <f t="shared" si="95"/>
        <v>0</v>
      </c>
      <c r="W269" s="779"/>
    </row>
    <row r="270" spans="1:23" s="775" customFormat="1" ht="8.1" customHeight="1" x14ac:dyDescent="0.25">
      <c r="A270" s="1408" t="s">
        <v>1421</v>
      </c>
      <c r="B270" s="1473"/>
      <c r="C270" s="1474" t="s">
        <v>1424</v>
      </c>
      <c r="D270" s="1421"/>
      <c r="E270" s="1421"/>
      <c r="F270" s="1421"/>
      <c r="G270" s="1475"/>
      <c r="H270" s="799" t="s">
        <v>970</v>
      </c>
      <c r="I270" s="1093"/>
      <c r="J270" s="810"/>
      <c r="K270" s="810"/>
      <c r="L270" s="810">
        <f t="shared" si="96"/>
        <v>0</v>
      </c>
      <c r="M270" s="810"/>
      <c r="N270" s="810">
        <f t="shared" si="97"/>
        <v>0</v>
      </c>
      <c r="O270" s="810"/>
      <c r="P270" s="810">
        <f t="shared" si="98"/>
        <v>0</v>
      </c>
      <c r="Q270" s="810"/>
      <c r="R270" s="810">
        <f t="shared" si="99"/>
        <v>0</v>
      </c>
      <c r="S270" s="810"/>
      <c r="T270" s="810">
        <f t="shared" si="100"/>
        <v>0</v>
      </c>
      <c r="U270" s="810"/>
      <c r="V270" s="810">
        <f t="shared" si="95"/>
        <v>0</v>
      </c>
      <c r="W270" s="779"/>
    </row>
    <row r="271" spans="1:23" s="775" customFormat="1" ht="8.1" customHeight="1" x14ac:dyDescent="0.25">
      <c r="A271" s="1408" t="s">
        <v>1425</v>
      </c>
      <c r="B271" s="1473"/>
      <c r="C271" s="1483" t="s">
        <v>1402</v>
      </c>
      <c r="D271" s="1425"/>
      <c r="E271" s="1425"/>
      <c r="F271" s="1425"/>
      <c r="G271" s="1484"/>
      <c r="H271" s="799" t="s">
        <v>970</v>
      </c>
      <c r="I271" s="1093"/>
      <c r="J271" s="810"/>
      <c r="K271" s="810"/>
      <c r="L271" s="810">
        <f t="shared" si="96"/>
        <v>0</v>
      </c>
      <c r="M271" s="810"/>
      <c r="N271" s="810">
        <f t="shared" si="97"/>
        <v>0</v>
      </c>
      <c r="O271" s="810"/>
      <c r="P271" s="810">
        <f t="shared" si="98"/>
        <v>0</v>
      </c>
      <c r="Q271" s="810"/>
      <c r="R271" s="810">
        <f t="shared" si="99"/>
        <v>0</v>
      </c>
      <c r="S271" s="810"/>
      <c r="T271" s="810">
        <f t="shared" si="100"/>
        <v>0</v>
      </c>
      <c r="U271" s="810"/>
      <c r="V271" s="810">
        <f t="shared" si="95"/>
        <v>0</v>
      </c>
      <c r="W271" s="779"/>
    </row>
    <row r="272" spans="1:23" s="775" customFormat="1" ht="16.5" customHeight="1" x14ac:dyDescent="0.25">
      <c r="A272" s="1408" t="s">
        <v>1426</v>
      </c>
      <c r="B272" s="1473"/>
      <c r="C272" s="1474" t="s">
        <v>1427</v>
      </c>
      <c r="D272" s="1421"/>
      <c r="E272" s="1421"/>
      <c r="F272" s="1421"/>
      <c r="G272" s="1475"/>
      <c r="H272" s="799" t="s">
        <v>970</v>
      </c>
      <c r="I272" s="1093"/>
      <c r="J272" s="810"/>
      <c r="K272" s="810"/>
      <c r="L272" s="810">
        <f t="shared" si="96"/>
        <v>0</v>
      </c>
      <c r="M272" s="810"/>
      <c r="N272" s="810">
        <f t="shared" si="97"/>
        <v>0</v>
      </c>
      <c r="O272" s="810"/>
      <c r="P272" s="810">
        <f t="shared" si="98"/>
        <v>0</v>
      </c>
      <c r="Q272" s="810"/>
      <c r="R272" s="810">
        <f t="shared" si="99"/>
        <v>0</v>
      </c>
      <c r="S272" s="810"/>
      <c r="T272" s="810">
        <f t="shared" si="100"/>
        <v>0</v>
      </c>
      <c r="U272" s="810"/>
      <c r="V272" s="810">
        <f t="shared" si="95"/>
        <v>0</v>
      </c>
      <c r="W272" s="779"/>
    </row>
    <row r="273" spans="1:23" s="775" customFormat="1" ht="8.1" customHeight="1" x14ac:dyDescent="0.25">
      <c r="A273" s="1408" t="s">
        <v>1428</v>
      </c>
      <c r="B273" s="1473"/>
      <c r="C273" s="1483" t="s">
        <v>1402</v>
      </c>
      <c r="D273" s="1425"/>
      <c r="E273" s="1425"/>
      <c r="F273" s="1425"/>
      <c r="G273" s="1484"/>
      <c r="H273" s="799" t="s">
        <v>970</v>
      </c>
      <c r="I273" s="1093"/>
      <c r="J273" s="810"/>
      <c r="K273" s="810"/>
      <c r="L273" s="810">
        <f t="shared" si="96"/>
        <v>0</v>
      </c>
      <c r="M273" s="810"/>
      <c r="N273" s="810">
        <f t="shared" si="97"/>
        <v>0</v>
      </c>
      <c r="O273" s="810"/>
      <c r="P273" s="810">
        <f t="shared" si="98"/>
        <v>0</v>
      </c>
      <c r="Q273" s="810"/>
      <c r="R273" s="810">
        <f t="shared" si="99"/>
        <v>0</v>
      </c>
      <c r="S273" s="810"/>
      <c r="T273" s="810">
        <f t="shared" si="100"/>
        <v>0</v>
      </c>
      <c r="U273" s="810"/>
      <c r="V273" s="810">
        <f t="shared" si="95"/>
        <v>0</v>
      </c>
      <c r="W273" s="779"/>
    </row>
    <row r="274" spans="1:23" s="775" customFormat="1" ht="8.1" customHeight="1" x14ac:dyDescent="0.25">
      <c r="A274" s="1408" t="s">
        <v>1429</v>
      </c>
      <c r="B274" s="1473"/>
      <c r="C274" s="1483" t="s">
        <v>1112</v>
      </c>
      <c r="D274" s="1425"/>
      <c r="E274" s="1425"/>
      <c r="F274" s="1425"/>
      <c r="G274" s="1484"/>
      <c r="H274" s="799" t="s">
        <v>970</v>
      </c>
      <c r="I274" s="1093"/>
      <c r="J274" s="810"/>
      <c r="K274" s="810"/>
      <c r="L274" s="810">
        <f t="shared" si="96"/>
        <v>0</v>
      </c>
      <c r="M274" s="810"/>
      <c r="N274" s="810">
        <f t="shared" si="97"/>
        <v>0</v>
      </c>
      <c r="O274" s="810"/>
      <c r="P274" s="810">
        <f t="shared" si="98"/>
        <v>0</v>
      </c>
      <c r="Q274" s="810"/>
      <c r="R274" s="810">
        <f t="shared" si="99"/>
        <v>0</v>
      </c>
      <c r="S274" s="810"/>
      <c r="T274" s="810">
        <f t="shared" si="100"/>
        <v>0</v>
      </c>
      <c r="U274" s="810"/>
      <c r="V274" s="810">
        <f t="shared" si="95"/>
        <v>0</v>
      </c>
      <c r="W274" s="779"/>
    </row>
    <row r="275" spans="1:23" s="775" customFormat="1" ht="8.1" customHeight="1" x14ac:dyDescent="0.25">
      <c r="A275" s="1408" t="s">
        <v>1430</v>
      </c>
      <c r="B275" s="1473"/>
      <c r="C275" s="1495" t="s">
        <v>1402</v>
      </c>
      <c r="D275" s="1427"/>
      <c r="E275" s="1427"/>
      <c r="F275" s="1427"/>
      <c r="G275" s="1496"/>
      <c r="H275" s="799" t="s">
        <v>970</v>
      </c>
      <c r="I275" s="1093"/>
      <c r="J275" s="810"/>
      <c r="K275" s="810"/>
      <c r="L275" s="810">
        <f t="shared" si="96"/>
        <v>0</v>
      </c>
      <c r="M275" s="810"/>
      <c r="N275" s="810">
        <f t="shared" si="97"/>
        <v>0</v>
      </c>
      <c r="O275" s="810"/>
      <c r="P275" s="810">
        <f t="shared" si="98"/>
        <v>0</v>
      </c>
      <c r="Q275" s="810"/>
      <c r="R275" s="810">
        <f t="shared" si="99"/>
        <v>0</v>
      </c>
      <c r="S275" s="810"/>
      <c r="T275" s="810">
        <f t="shared" si="100"/>
        <v>0</v>
      </c>
      <c r="U275" s="810"/>
      <c r="V275" s="810">
        <f t="shared" si="95"/>
        <v>0</v>
      </c>
      <c r="W275" s="779"/>
    </row>
    <row r="276" spans="1:23" s="775" customFormat="1" ht="8.1" customHeight="1" x14ac:dyDescent="0.25">
      <c r="A276" s="1408" t="s">
        <v>1431</v>
      </c>
      <c r="B276" s="1473"/>
      <c r="C276" s="1483" t="s">
        <v>988</v>
      </c>
      <c r="D276" s="1425"/>
      <c r="E276" s="1425"/>
      <c r="F276" s="1425"/>
      <c r="G276" s="1484"/>
      <c r="H276" s="799" t="s">
        <v>970</v>
      </c>
      <c r="I276" s="1093"/>
      <c r="J276" s="810"/>
      <c r="K276" s="810"/>
      <c r="L276" s="810">
        <f t="shared" si="96"/>
        <v>0</v>
      </c>
      <c r="M276" s="810"/>
      <c r="N276" s="810">
        <f t="shared" si="97"/>
        <v>0</v>
      </c>
      <c r="O276" s="810"/>
      <c r="P276" s="810">
        <f t="shared" si="98"/>
        <v>0</v>
      </c>
      <c r="Q276" s="810"/>
      <c r="R276" s="810">
        <f t="shared" si="99"/>
        <v>0</v>
      </c>
      <c r="S276" s="810"/>
      <c r="T276" s="810">
        <f t="shared" si="100"/>
        <v>0</v>
      </c>
      <c r="U276" s="810"/>
      <c r="V276" s="810">
        <f t="shared" si="95"/>
        <v>0</v>
      </c>
      <c r="W276" s="779"/>
    </row>
    <row r="277" spans="1:23" s="775" customFormat="1" ht="8.1" customHeight="1" x14ac:dyDescent="0.25">
      <c r="A277" s="1408" t="s">
        <v>1432</v>
      </c>
      <c r="B277" s="1473"/>
      <c r="C277" s="1495" t="s">
        <v>1402</v>
      </c>
      <c r="D277" s="1427"/>
      <c r="E277" s="1427"/>
      <c r="F277" s="1427"/>
      <c r="G277" s="1496"/>
      <c r="H277" s="799" t="s">
        <v>970</v>
      </c>
      <c r="I277" s="1093"/>
      <c r="J277" s="810"/>
      <c r="K277" s="810"/>
      <c r="L277" s="810">
        <f t="shared" si="96"/>
        <v>0</v>
      </c>
      <c r="M277" s="810"/>
      <c r="N277" s="810">
        <f t="shared" si="97"/>
        <v>0</v>
      </c>
      <c r="O277" s="810"/>
      <c r="P277" s="810">
        <f t="shared" si="98"/>
        <v>0</v>
      </c>
      <c r="Q277" s="810"/>
      <c r="R277" s="810">
        <f t="shared" si="99"/>
        <v>0</v>
      </c>
      <c r="S277" s="810"/>
      <c r="T277" s="810">
        <f t="shared" si="100"/>
        <v>0</v>
      </c>
      <c r="U277" s="810"/>
      <c r="V277" s="810">
        <f t="shared" si="95"/>
        <v>0</v>
      </c>
      <c r="W277" s="779"/>
    </row>
    <row r="278" spans="1:23" s="775" customFormat="1" ht="8.1" customHeight="1" x14ac:dyDescent="0.25">
      <c r="A278" s="1408" t="s">
        <v>1433</v>
      </c>
      <c r="B278" s="1473"/>
      <c r="C278" s="1474" t="s">
        <v>1434</v>
      </c>
      <c r="D278" s="1421"/>
      <c r="E278" s="1421"/>
      <c r="F278" s="1421"/>
      <c r="G278" s="1475"/>
      <c r="H278" s="799" t="s">
        <v>970</v>
      </c>
      <c r="I278" s="1093"/>
      <c r="J278" s="810"/>
      <c r="K278" s="810"/>
      <c r="L278" s="810"/>
      <c r="M278" s="810"/>
      <c r="N278" s="810"/>
      <c r="O278" s="810"/>
      <c r="P278" s="810"/>
      <c r="Q278" s="810"/>
      <c r="R278" s="810"/>
      <c r="S278" s="810"/>
      <c r="T278" s="810"/>
      <c r="U278" s="810"/>
      <c r="V278" s="810">
        <f t="shared" si="95"/>
        <v>0</v>
      </c>
      <c r="W278" s="779"/>
    </row>
    <row r="279" spans="1:23" s="775" customFormat="1" ht="8.1" customHeight="1" x14ac:dyDescent="0.25">
      <c r="A279" s="1408" t="s">
        <v>1435</v>
      </c>
      <c r="B279" s="1473"/>
      <c r="C279" s="1483" t="s">
        <v>1402</v>
      </c>
      <c r="D279" s="1425"/>
      <c r="E279" s="1425"/>
      <c r="F279" s="1425"/>
      <c r="G279" s="1484"/>
      <c r="H279" s="799" t="s">
        <v>970</v>
      </c>
      <c r="I279" s="1093"/>
      <c r="J279" s="810"/>
      <c r="K279" s="810"/>
      <c r="L279" s="810"/>
      <c r="M279" s="810"/>
      <c r="N279" s="810"/>
      <c r="O279" s="810"/>
      <c r="P279" s="810"/>
      <c r="Q279" s="810"/>
      <c r="R279" s="810"/>
      <c r="S279" s="810"/>
      <c r="T279" s="810"/>
      <c r="U279" s="810"/>
      <c r="V279" s="810">
        <f t="shared" si="95"/>
        <v>0</v>
      </c>
      <c r="W279" s="779"/>
    </row>
    <row r="280" spans="1:23" s="775" customFormat="1" ht="8.1" customHeight="1" x14ac:dyDescent="0.25">
      <c r="A280" s="1408" t="s">
        <v>1436</v>
      </c>
      <c r="B280" s="1473"/>
      <c r="C280" s="1476" t="s">
        <v>1437</v>
      </c>
      <c r="D280" s="1411"/>
      <c r="E280" s="1411"/>
      <c r="F280" s="1411"/>
      <c r="G280" s="1477"/>
      <c r="H280" s="799" t="s">
        <v>970</v>
      </c>
      <c r="I280" s="1093"/>
      <c r="J280" s="810"/>
      <c r="K280" s="810"/>
      <c r="L280" s="810"/>
      <c r="M280" s="810"/>
      <c r="N280" s="810"/>
      <c r="O280" s="810"/>
      <c r="P280" s="810"/>
      <c r="Q280" s="810"/>
      <c r="R280" s="810"/>
      <c r="S280" s="810"/>
      <c r="T280" s="810"/>
      <c r="U280" s="810"/>
      <c r="V280" s="810">
        <f t="shared" si="95"/>
        <v>0</v>
      </c>
      <c r="W280" s="779"/>
    </row>
    <row r="281" spans="1:23" s="775" customFormat="1" ht="8.1" customHeight="1" x14ac:dyDescent="0.25">
      <c r="A281" s="1408" t="s">
        <v>1438</v>
      </c>
      <c r="B281" s="1473"/>
      <c r="C281" s="1474" t="s">
        <v>1439</v>
      </c>
      <c r="D281" s="1421"/>
      <c r="E281" s="1421"/>
      <c r="F281" s="1421"/>
      <c r="G281" s="1475"/>
      <c r="H281" s="799" t="s">
        <v>970</v>
      </c>
      <c r="I281" s="1093"/>
      <c r="J281" s="810"/>
      <c r="K281" s="810"/>
      <c r="L281" s="810"/>
      <c r="M281" s="810"/>
      <c r="N281" s="810"/>
      <c r="O281" s="810"/>
      <c r="P281" s="810"/>
      <c r="Q281" s="810"/>
      <c r="R281" s="810"/>
      <c r="S281" s="810"/>
      <c r="T281" s="810"/>
      <c r="U281" s="810"/>
      <c r="V281" s="810">
        <f t="shared" si="95"/>
        <v>0</v>
      </c>
      <c r="W281" s="779"/>
    </row>
    <row r="282" spans="1:23" s="775" customFormat="1" ht="8.1" customHeight="1" x14ac:dyDescent="0.25">
      <c r="A282" s="1408" t="s">
        <v>1440</v>
      </c>
      <c r="B282" s="1473"/>
      <c r="C282" s="1483" t="s">
        <v>1402</v>
      </c>
      <c r="D282" s="1425"/>
      <c r="E282" s="1425"/>
      <c r="F282" s="1425"/>
      <c r="G282" s="1484"/>
      <c r="H282" s="799" t="s">
        <v>970</v>
      </c>
      <c r="I282" s="1093"/>
      <c r="J282" s="810"/>
      <c r="K282" s="810"/>
      <c r="L282" s="810">
        <f t="shared" si="96"/>
        <v>0</v>
      </c>
      <c r="M282" s="810"/>
      <c r="N282" s="810">
        <f t="shared" si="97"/>
        <v>0</v>
      </c>
      <c r="O282" s="810"/>
      <c r="P282" s="810">
        <f t="shared" si="98"/>
        <v>0</v>
      </c>
      <c r="Q282" s="810"/>
      <c r="R282" s="810">
        <f t="shared" ref="R282:R291" si="101">P282*104.1/100</f>
        <v>0</v>
      </c>
      <c r="S282" s="810"/>
      <c r="T282" s="810">
        <f t="shared" ref="T282:T291" si="102">P282*104.1/100</f>
        <v>0</v>
      </c>
      <c r="U282" s="810"/>
      <c r="V282" s="810">
        <f t="shared" si="95"/>
        <v>0</v>
      </c>
      <c r="W282" s="779"/>
    </row>
    <row r="283" spans="1:23" s="775" customFormat="1" ht="8.1" customHeight="1" x14ac:dyDescent="0.25">
      <c r="A283" s="1408" t="s">
        <v>1441</v>
      </c>
      <c r="B283" s="1473"/>
      <c r="C283" s="1474" t="s">
        <v>1442</v>
      </c>
      <c r="D283" s="1421"/>
      <c r="E283" s="1421"/>
      <c r="F283" s="1421"/>
      <c r="G283" s="1475"/>
      <c r="H283" s="799" t="s">
        <v>970</v>
      </c>
      <c r="I283" s="1093"/>
      <c r="J283" s="810"/>
      <c r="K283" s="810"/>
      <c r="L283" s="810"/>
      <c r="M283" s="810"/>
      <c r="N283" s="810"/>
      <c r="O283" s="810"/>
      <c r="P283" s="810"/>
      <c r="Q283" s="810"/>
      <c r="R283" s="810"/>
      <c r="S283" s="810"/>
      <c r="T283" s="810"/>
      <c r="U283" s="810"/>
      <c r="V283" s="810">
        <f t="shared" si="95"/>
        <v>0</v>
      </c>
      <c r="W283" s="779"/>
    </row>
    <row r="284" spans="1:23" s="775" customFormat="1" ht="8.1" customHeight="1" x14ac:dyDescent="0.25">
      <c r="A284" s="1408" t="s">
        <v>1443</v>
      </c>
      <c r="B284" s="1473"/>
      <c r="C284" s="1483" t="s">
        <v>1273</v>
      </c>
      <c r="D284" s="1425"/>
      <c r="E284" s="1425"/>
      <c r="F284" s="1425"/>
      <c r="G284" s="1484"/>
      <c r="H284" s="799" t="s">
        <v>970</v>
      </c>
      <c r="I284" s="1093"/>
      <c r="J284" s="810"/>
      <c r="K284" s="810"/>
      <c r="L284" s="810"/>
      <c r="M284" s="810"/>
      <c r="N284" s="810"/>
      <c r="O284" s="810"/>
      <c r="P284" s="810"/>
      <c r="Q284" s="810"/>
      <c r="R284" s="810"/>
      <c r="S284" s="810"/>
      <c r="T284" s="810"/>
      <c r="U284" s="810"/>
      <c r="V284" s="810">
        <f t="shared" si="95"/>
        <v>0</v>
      </c>
      <c r="W284" s="779"/>
    </row>
    <row r="285" spans="1:23" s="775" customFormat="1" ht="8.1" customHeight="1" x14ac:dyDescent="0.25">
      <c r="A285" s="1408" t="s">
        <v>1444</v>
      </c>
      <c r="B285" s="1473"/>
      <c r="C285" s="1495" t="s">
        <v>1402</v>
      </c>
      <c r="D285" s="1427"/>
      <c r="E285" s="1427"/>
      <c r="F285" s="1427"/>
      <c r="G285" s="1496"/>
      <c r="H285" s="799" t="s">
        <v>970</v>
      </c>
      <c r="I285" s="1093"/>
      <c r="J285" s="810"/>
      <c r="K285" s="810"/>
      <c r="L285" s="810"/>
      <c r="M285" s="810"/>
      <c r="N285" s="810"/>
      <c r="O285" s="810"/>
      <c r="P285" s="810"/>
      <c r="Q285" s="810"/>
      <c r="R285" s="810"/>
      <c r="S285" s="810"/>
      <c r="T285" s="810"/>
      <c r="U285" s="810"/>
      <c r="V285" s="810">
        <f t="shared" si="95"/>
        <v>0</v>
      </c>
      <c r="W285" s="779"/>
    </row>
    <row r="286" spans="1:23" s="775" customFormat="1" ht="8.1" customHeight="1" x14ac:dyDescent="0.25">
      <c r="A286" s="1408" t="s">
        <v>1445</v>
      </c>
      <c r="B286" s="1473"/>
      <c r="C286" s="1483" t="s">
        <v>1446</v>
      </c>
      <c r="D286" s="1425"/>
      <c r="E286" s="1425"/>
      <c r="F286" s="1425"/>
      <c r="G286" s="1484"/>
      <c r="H286" s="799" t="s">
        <v>970</v>
      </c>
      <c r="I286" s="815"/>
      <c r="J286" s="810"/>
      <c r="K286" s="810"/>
      <c r="L286" s="810"/>
      <c r="M286" s="810"/>
      <c r="N286" s="810"/>
      <c r="O286" s="810"/>
      <c r="P286" s="810"/>
      <c r="Q286" s="810"/>
      <c r="R286" s="810"/>
      <c r="S286" s="810"/>
      <c r="T286" s="810"/>
      <c r="U286" s="810"/>
      <c r="V286" s="810">
        <f t="shared" si="95"/>
        <v>0</v>
      </c>
      <c r="W286" s="799"/>
    </row>
    <row r="287" spans="1:23" s="775" customFormat="1" ht="8.1" customHeight="1" x14ac:dyDescent="0.25">
      <c r="A287" s="1408" t="s">
        <v>1447</v>
      </c>
      <c r="B287" s="1473"/>
      <c r="C287" s="1495" t="s">
        <v>1402</v>
      </c>
      <c r="D287" s="1427"/>
      <c r="E287" s="1427"/>
      <c r="F287" s="1427"/>
      <c r="G287" s="1496"/>
      <c r="H287" s="799" t="s">
        <v>970</v>
      </c>
      <c r="I287" s="815"/>
      <c r="J287" s="810"/>
      <c r="K287" s="810"/>
      <c r="L287" s="810">
        <f t="shared" si="96"/>
        <v>0</v>
      </c>
      <c r="M287" s="810"/>
      <c r="N287" s="810">
        <f t="shared" si="97"/>
        <v>0</v>
      </c>
      <c r="O287" s="810"/>
      <c r="P287" s="810">
        <f t="shared" si="98"/>
        <v>0</v>
      </c>
      <c r="Q287" s="810"/>
      <c r="R287" s="810">
        <f t="shared" si="101"/>
        <v>0</v>
      </c>
      <c r="S287" s="810"/>
      <c r="T287" s="810">
        <f t="shared" si="102"/>
        <v>0</v>
      </c>
      <c r="U287" s="810"/>
      <c r="V287" s="810">
        <f t="shared" si="95"/>
        <v>0</v>
      </c>
      <c r="W287" s="799"/>
    </row>
    <row r="288" spans="1:23" s="775" customFormat="1" ht="16.5" customHeight="1" x14ac:dyDescent="0.25">
      <c r="A288" s="1408" t="s">
        <v>1448</v>
      </c>
      <c r="B288" s="1473"/>
      <c r="C288" s="1474" t="s">
        <v>1449</v>
      </c>
      <c r="D288" s="1421"/>
      <c r="E288" s="1421"/>
      <c r="F288" s="1421"/>
      <c r="G288" s="1475"/>
      <c r="H288" s="799" t="s">
        <v>970</v>
      </c>
      <c r="I288" s="815"/>
      <c r="J288" s="810"/>
      <c r="K288" s="810"/>
      <c r="L288" s="810">
        <f t="shared" si="96"/>
        <v>0</v>
      </c>
      <c r="M288" s="810"/>
      <c r="N288" s="810">
        <f t="shared" si="97"/>
        <v>0</v>
      </c>
      <c r="O288" s="810"/>
      <c r="P288" s="810">
        <f t="shared" si="98"/>
        <v>0</v>
      </c>
      <c r="Q288" s="810"/>
      <c r="R288" s="810">
        <f t="shared" si="101"/>
        <v>0</v>
      </c>
      <c r="S288" s="810"/>
      <c r="T288" s="810">
        <f t="shared" si="102"/>
        <v>0</v>
      </c>
      <c r="U288" s="810"/>
      <c r="V288" s="810">
        <f t="shared" si="95"/>
        <v>0</v>
      </c>
      <c r="W288" s="799"/>
    </row>
    <row r="289" spans="1:26" s="775" customFormat="1" ht="8.1" customHeight="1" x14ac:dyDescent="0.25">
      <c r="A289" s="1408" t="s">
        <v>1450</v>
      </c>
      <c r="B289" s="1473"/>
      <c r="C289" s="1483" t="s">
        <v>1402</v>
      </c>
      <c r="D289" s="1425"/>
      <c r="E289" s="1425"/>
      <c r="F289" s="1425"/>
      <c r="G289" s="1484"/>
      <c r="H289" s="799" t="s">
        <v>970</v>
      </c>
      <c r="I289" s="815"/>
      <c r="J289" s="810"/>
      <c r="K289" s="810"/>
      <c r="L289" s="810">
        <f t="shared" si="96"/>
        <v>0</v>
      </c>
      <c r="M289" s="810"/>
      <c r="N289" s="810">
        <f t="shared" si="97"/>
        <v>0</v>
      </c>
      <c r="O289" s="810"/>
      <c r="P289" s="810">
        <f t="shared" si="98"/>
        <v>0</v>
      </c>
      <c r="Q289" s="810"/>
      <c r="R289" s="810">
        <f t="shared" si="101"/>
        <v>0</v>
      </c>
      <c r="S289" s="810"/>
      <c r="T289" s="810">
        <f t="shared" si="102"/>
        <v>0</v>
      </c>
      <c r="U289" s="810"/>
      <c r="V289" s="810">
        <f t="shared" si="95"/>
        <v>0</v>
      </c>
      <c r="W289" s="799"/>
    </row>
    <row r="290" spans="1:26" s="775" customFormat="1" ht="8.1" customHeight="1" x14ac:dyDescent="0.25">
      <c r="A290" s="1408" t="s">
        <v>1451</v>
      </c>
      <c r="B290" s="1473"/>
      <c r="C290" s="1474" t="s">
        <v>1452</v>
      </c>
      <c r="D290" s="1421"/>
      <c r="E290" s="1421"/>
      <c r="F290" s="1421"/>
      <c r="G290" s="1475"/>
      <c r="H290" s="799" t="s">
        <v>970</v>
      </c>
      <c r="I290" s="815"/>
      <c r="J290" s="810"/>
      <c r="K290" s="810"/>
      <c r="L290" s="810">
        <f t="shared" si="96"/>
        <v>0</v>
      </c>
      <c r="M290" s="810"/>
      <c r="N290" s="810">
        <f t="shared" si="97"/>
        <v>0</v>
      </c>
      <c r="O290" s="810"/>
      <c r="P290" s="810">
        <f t="shared" si="98"/>
        <v>0</v>
      </c>
      <c r="Q290" s="810"/>
      <c r="R290" s="810">
        <f t="shared" si="101"/>
        <v>0</v>
      </c>
      <c r="S290" s="810"/>
      <c r="T290" s="810">
        <f t="shared" si="102"/>
        <v>0</v>
      </c>
      <c r="U290" s="810"/>
      <c r="V290" s="810">
        <f t="shared" si="95"/>
        <v>0</v>
      </c>
      <c r="W290" s="799"/>
    </row>
    <row r="291" spans="1:26" s="775" customFormat="1" ht="8.1" customHeight="1" x14ac:dyDescent="0.25">
      <c r="A291" s="1408" t="s">
        <v>1453</v>
      </c>
      <c r="B291" s="1473"/>
      <c r="C291" s="1483" t="s">
        <v>1402</v>
      </c>
      <c r="D291" s="1425"/>
      <c r="E291" s="1425"/>
      <c r="F291" s="1425"/>
      <c r="G291" s="1484"/>
      <c r="H291" s="799" t="s">
        <v>970</v>
      </c>
      <c r="I291" s="815"/>
      <c r="J291" s="810"/>
      <c r="K291" s="810"/>
      <c r="L291" s="810">
        <f t="shared" si="96"/>
        <v>0</v>
      </c>
      <c r="M291" s="810"/>
      <c r="N291" s="810">
        <f t="shared" si="97"/>
        <v>0</v>
      </c>
      <c r="O291" s="810"/>
      <c r="P291" s="810">
        <f t="shared" si="98"/>
        <v>0</v>
      </c>
      <c r="Q291" s="810"/>
      <c r="R291" s="810">
        <f t="shared" si="101"/>
        <v>0</v>
      </c>
      <c r="S291" s="810"/>
      <c r="T291" s="810">
        <f t="shared" si="102"/>
        <v>0</v>
      </c>
      <c r="U291" s="810"/>
      <c r="V291" s="810">
        <f t="shared" si="95"/>
        <v>0</v>
      </c>
      <c r="W291" s="799"/>
    </row>
    <row r="292" spans="1:26" s="775" customFormat="1" ht="8.1" customHeight="1" x14ac:dyDescent="0.25">
      <c r="A292" s="1408" t="s">
        <v>1454</v>
      </c>
      <c r="B292" s="1473"/>
      <c r="C292" s="1474" t="s">
        <v>1455</v>
      </c>
      <c r="D292" s="1421"/>
      <c r="E292" s="1421"/>
      <c r="F292" s="1421"/>
      <c r="G292" s="1475"/>
      <c r="H292" s="799" t="s">
        <v>970</v>
      </c>
      <c r="I292" s="815"/>
      <c r="J292" s="810"/>
      <c r="K292" s="810"/>
      <c r="L292" s="810"/>
      <c r="M292" s="810"/>
      <c r="N292" s="810"/>
      <c r="O292" s="810"/>
      <c r="P292" s="810"/>
      <c r="Q292" s="810"/>
      <c r="R292" s="810"/>
      <c r="S292" s="810"/>
      <c r="T292" s="810"/>
      <c r="U292" s="810"/>
      <c r="V292" s="810">
        <f t="shared" si="95"/>
        <v>0</v>
      </c>
      <c r="W292" s="799"/>
    </row>
    <row r="293" spans="1:26" s="775" customFormat="1" ht="8.1" customHeight="1" x14ac:dyDescent="0.25">
      <c r="A293" s="1408" t="s">
        <v>1456</v>
      </c>
      <c r="B293" s="1473"/>
      <c r="C293" s="1483" t="s">
        <v>1402</v>
      </c>
      <c r="D293" s="1425"/>
      <c r="E293" s="1425"/>
      <c r="F293" s="1425"/>
      <c r="G293" s="1484"/>
      <c r="H293" s="799" t="s">
        <v>970</v>
      </c>
      <c r="I293" s="815"/>
      <c r="J293" s="810"/>
      <c r="K293" s="810"/>
      <c r="L293" s="810"/>
      <c r="M293" s="810"/>
      <c r="N293" s="810"/>
      <c r="O293" s="810"/>
      <c r="P293" s="810"/>
      <c r="Q293" s="810"/>
      <c r="R293" s="810"/>
      <c r="S293" s="810"/>
      <c r="T293" s="810"/>
      <c r="U293" s="810"/>
      <c r="V293" s="810">
        <f t="shared" si="95"/>
        <v>0</v>
      </c>
      <c r="W293" s="799"/>
    </row>
    <row r="294" spans="1:26" s="775" customFormat="1" ht="8.1" customHeight="1" x14ac:dyDescent="0.25">
      <c r="A294" s="1408" t="s">
        <v>1457</v>
      </c>
      <c r="B294" s="1473"/>
      <c r="C294" s="1474" t="s">
        <v>1458</v>
      </c>
      <c r="D294" s="1421"/>
      <c r="E294" s="1421"/>
      <c r="F294" s="1421"/>
      <c r="G294" s="1475"/>
      <c r="H294" s="799" t="s">
        <v>970</v>
      </c>
      <c r="I294" s="815"/>
      <c r="J294" s="810"/>
      <c r="K294" s="810"/>
      <c r="L294" s="810"/>
      <c r="M294" s="810"/>
      <c r="N294" s="810"/>
      <c r="O294" s="810"/>
      <c r="P294" s="810"/>
      <c r="Q294" s="810"/>
      <c r="R294" s="810"/>
      <c r="S294" s="810"/>
      <c r="T294" s="810"/>
      <c r="U294" s="810"/>
      <c r="V294" s="810">
        <f t="shared" si="95"/>
        <v>0</v>
      </c>
      <c r="W294" s="799"/>
    </row>
    <row r="295" spans="1:26" s="775" customFormat="1" ht="8.1" customHeight="1" x14ac:dyDescent="0.25">
      <c r="A295" s="1408" t="s">
        <v>1459</v>
      </c>
      <c r="B295" s="1473"/>
      <c r="C295" s="1483" t="s">
        <v>1402</v>
      </c>
      <c r="D295" s="1425"/>
      <c r="E295" s="1425"/>
      <c r="F295" s="1425"/>
      <c r="G295" s="1484"/>
      <c r="H295" s="799" t="s">
        <v>970</v>
      </c>
      <c r="I295" s="815"/>
      <c r="J295" s="810"/>
      <c r="K295" s="810"/>
      <c r="L295" s="810"/>
      <c r="M295" s="810"/>
      <c r="N295" s="810"/>
      <c r="O295" s="810"/>
      <c r="P295" s="810"/>
      <c r="Q295" s="810"/>
      <c r="R295" s="810"/>
      <c r="S295" s="810"/>
      <c r="T295" s="810"/>
      <c r="U295" s="810"/>
      <c r="V295" s="810">
        <f t="shared" si="95"/>
        <v>0</v>
      </c>
      <c r="W295" s="799"/>
    </row>
    <row r="296" spans="1:26" s="775" customFormat="1" ht="8.1" customHeight="1" x14ac:dyDescent="0.25">
      <c r="A296" s="1408" t="s">
        <v>1460</v>
      </c>
      <c r="B296" s="1473"/>
      <c r="C296" s="1474" t="s">
        <v>1461</v>
      </c>
      <c r="D296" s="1421"/>
      <c r="E296" s="1421"/>
      <c r="F296" s="1421"/>
      <c r="G296" s="1475"/>
      <c r="H296" s="799" t="s">
        <v>970</v>
      </c>
      <c r="I296" s="815"/>
      <c r="J296" s="810"/>
      <c r="K296" s="810"/>
      <c r="L296" s="810"/>
      <c r="M296" s="810"/>
      <c r="N296" s="810"/>
      <c r="O296" s="810"/>
      <c r="P296" s="810"/>
      <c r="Q296" s="810"/>
      <c r="R296" s="810"/>
      <c r="S296" s="810"/>
      <c r="T296" s="810"/>
      <c r="U296" s="810"/>
      <c r="V296" s="810">
        <f t="shared" si="95"/>
        <v>0</v>
      </c>
      <c r="W296" s="799"/>
    </row>
    <row r="297" spans="1:26" s="775" customFormat="1" ht="8.1" customHeight="1" x14ac:dyDescent="0.25">
      <c r="A297" s="1408" t="s">
        <v>1462</v>
      </c>
      <c r="B297" s="1473"/>
      <c r="C297" s="1483" t="s">
        <v>1402</v>
      </c>
      <c r="D297" s="1425"/>
      <c r="E297" s="1425"/>
      <c r="F297" s="1425"/>
      <c r="G297" s="1484"/>
      <c r="H297" s="799" t="s">
        <v>970</v>
      </c>
      <c r="I297" s="815"/>
      <c r="J297" s="810"/>
      <c r="K297" s="810"/>
      <c r="L297" s="810"/>
      <c r="M297" s="810"/>
      <c r="N297" s="810"/>
      <c r="O297" s="810"/>
      <c r="P297" s="810"/>
      <c r="Q297" s="810"/>
      <c r="R297" s="810"/>
      <c r="S297" s="810"/>
      <c r="T297" s="810"/>
      <c r="U297" s="810"/>
      <c r="V297" s="810">
        <f t="shared" si="95"/>
        <v>0</v>
      </c>
      <c r="W297" s="799"/>
    </row>
    <row r="298" spans="1:26" s="775" customFormat="1" ht="16.5" customHeight="1" x14ac:dyDescent="0.25">
      <c r="A298" s="1408" t="s">
        <v>1463</v>
      </c>
      <c r="B298" s="1473"/>
      <c r="C298" s="1474" t="s">
        <v>1464</v>
      </c>
      <c r="D298" s="1421"/>
      <c r="E298" s="1421"/>
      <c r="F298" s="1421"/>
      <c r="G298" s="1475"/>
      <c r="H298" s="799" t="s">
        <v>970</v>
      </c>
      <c r="I298" s="815"/>
      <c r="J298" s="810"/>
      <c r="K298" s="810"/>
      <c r="L298" s="810"/>
      <c r="M298" s="810"/>
      <c r="N298" s="810"/>
      <c r="O298" s="810"/>
      <c r="P298" s="810"/>
      <c r="Q298" s="810"/>
      <c r="R298" s="810"/>
      <c r="S298" s="810"/>
      <c r="T298" s="810"/>
      <c r="U298" s="810"/>
      <c r="V298" s="810">
        <f t="shared" si="95"/>
        <v>0</v>
      </c>
      <c r="W298" s="799"/>
      <c r="Y298" s="828"/>
    </row>
    <row r="299" spans="1:26" s="775" customFormat="1" ht="8.1" customHeight="1" x14ac:dyDescent="0.25">
      <c r="A299" s="1408" t="s">
        <v>1465</v>
      </c>
      <c r="B299" s="1473"/>
      <c r="C299" s="1483" t="s">
        <v>1402</v>
      </c>
      <c r="D299" s="1425"/>
      <c r="E299" s="1425"/>
      <c r="F299" s="1425"/>
      <c r="G299" s="1484"/>
      <c r="H299" s="799" t="s">
        <v>970</v>
      </c>
      <c r="I299" s="815"/>
      <c r="J299" s="810"/>
      <c r="K299" s="810"/>
      <c r="L299" s="810"/>
      <c r="M299" s="810"/>
      <c r="N299" s="810"/>
      <c r="O299" s="810"/>
      <c r="P299" s="810"/>
      <c r="Q299" s="810"/>
      <c r="R299" s="810"/>
      <c r="S299" s="810"/>
      <c r="T299" s="810"/>
      <c r="U299" s="810"/>
      <c r="V299" s="810">
        <f t="shared" si="95"/>
        <v>0</v>
      </c>
      <c r="W299" s="799"/>
      <c r="Y299" s="829"/>
    </row>
    <row r="300" spans="1:26" s="775" customFormat="1" ht="8.1" customHeight="1" x14ac:dyDescent="0.25">
      <c r="A300" s="1408" t="s">
        <v>1466</v>
      </c>
      <c r="B300" s="1473"/>
      <c r="C300" s="1474" t="s">
        <v>1467</v>
      </c>
      <c r="D300" s="1421"/>
      <c r="E300" s="1421"/>
      <c r="F300" s="1421"/>
      <c r="G300" s="1475"/>
      <c r="H300" s="799" t="s">
        <v>970</v>
      </c>
      <c r="I300" s="815"/>
      <c r="J300" s="810"/>
      <c r="K300" s="810"/>
      <c r="L300" s="810"/>
      <c r="M300" s="810"/>
      <c r="N300" s="810"/>
      <c r="O300" s="810"/>
      <c r="P300" s="810"/>
      <c r="Q300" s="810"/>
      <c r="R300" s="810"/>
      <c r="S300" s="810"/>
      <c r="T300" s="810"/>
      <c r="U300" s="810"/>
      <c r="V300" s="810">
        <f t="shared" si="95"/>
        <v>0</v>
      </c>
      <c r="W300" s="799"/>
    </row>
    <row r="301" spans="1:26" s="775" customFormat="1" ht="8.1" customHeight="1" x14ac:dyDescent="0.25">
      <c r="A301" s="1408" t="s">
        <v>1468</v>
      </c>
      <c r="B301" s="1473"/>
      <c r="C301" s="1483" t="s">
        <v>1402</v>
      </c>
      <c r="D301" s="1425"/>
      <c r="E301" s="1425"/>
      <c r="F301" s="1425"/>
      <c r="G301" s="1484"/>
      <c r="H301" s="799" t="s">
        <v>970</v>
      </c>
      <c r="I301" s="815"/>
      <c r="J301" s="810"/>
      <c r="K301" s="810"/>
      <c r="L301" s="810"/>
      <c r="M301" s="810"/>
      <c r="N301" s="810"/>
      <c r="O301" s="810"/>
      <c r="P301" s="810"/>
      <c r="Q301" s="810"/>
      <c r="R301" s="810"/>
      <c r="S301" s="810"/>
      <c r="T301" s="810"/>
      <c r="U301" s="810"/>
      <c r="V301" s="810"/>
      <c r="W301" s="799"/>
      <c r="Y301" s="828"/>
      <c r="Z301" s="830"/>
    </row>
    <row r="302" spans="1:26" s="775" customFormat="1" ht="17.100000000000001" customHeight="1" x14ac:dyDescent="0.25">
      <c r="A302" s="1408" t="s">
        <v>1469</v>
      </c>
      <c r="B302" s="1473"/>
      <c r="C302" s="1476" t="s">
        <v>1470</v>
      </c>
      <c r="D302" s="1411"/>
      <c r="E302" s="1411"/>
      <c r="F302" s="1411"/>
      <c r="G302" s="1477"/>
      <c r="H302" s="799" t="s">
        <v>1471</v>
      </c>
      <c r="I302" s="831">
        <f>I308</f>
        <v>-0.1525</v>
      </c>
      <c r="J302" s="832">
        <f t="shared" ref="J302:V302" si="103">J308</f>
        <v>-0.1525</v>
      </c>
      <c r="K302" s="832">
        <f t="shared" si="103"/>
        <v>-0.1525</v>
      </c>
      <c r="L302" s="832">
        <f t="shared" si="103"/>
        <v>1.6899999999999998E-2</v>
      </c>
      <c r="M302" s="832"/>
      <c r="N302" s="832">
        <f t="shared" si="103"/>
        <v>1.6899999999999998E-2</v>
      </c>
      <c r="O302" s="832"/>
      <c r="P302" s="832">
        <f t="shared" si="103"/>
        <v>1.6899999999999998E-2</v>
      </c>
      <c r="Q302" s="832"/>
      <c r="R302" s="832">
        <f>R308</f>
        <v>1.6899999999999998E-2</v>
      </c>
      <c r="S302" s="832"/>
      <c r="T302" s="832">
        <f>T308</f>
        <v>1.6899999999999998E-2</v>
      </c>
      <c r="U302" s="832"/>
      <c r="V302" s="832">
        <f t="shared" si="103"/>
        <v>-0.16669999999999999</v>
      </c>
      <c r="W302" s="779"/>
    </row>
    <row r="303" spans="1:26" s="775" customFormat="1" ht="8.1" customHeight="1" x14ac:dyDescent="0.25">
      <c r="A303" s="1408" t="s">
        <v>1472</v>
      </c>
      <c r="B303" s="1473"/>
      <c r="C303" s="1474" t="s">
        <v>1473</v>
      </c>
      <c r="D303" s="1421"/>
      <c r="E303" s="1421"/>
      <c r="F303" s="1421"/>
      <c r="G303" s="1475"/>
      <c r="H303" s="799" t="s">
        <v>1471</v>
      </c>
      <c r="I303" s="1093"/>
      <c r="J303" s="810"/>
      <c r="K303" s="810"/>
      <c r="L303" s="810"/>
      <c r="M303" s="810"/>
      <c r="N303" s="810"/>
      <c r="O303" s="810"/>
      <c r="P303" s="810"/>
      <c r="Q303" s="810"/>
      <c r="R303" s="810"/>
      <c r="S303" s="810"/>
      <c r="T303" s="810"/>
      <c r="U303" s="810"/>
      <c r="V303" s="810"/>
      <c r="W303" s="779"/>
    </row>
    <row r="304" spans="1:26" s="775" customFormat="1" ht="17.100000000000001" customHeight="1" x14ac:dyDescent="0.25">
      <c r="A304" s="1408" t="s">
        <v>1474</v>
      </c>
      <c r="B304" s="1473"/>
      <c r="C304" s="1474" t="s">
        <v>1475</v>
      </c>
      <c r="D304" s="1421"/>
      <c r="E304" s="1421"/>
      <c r="F304" s="1421"/>
      <c r="G304" s="1475"/>
      <c r="H304" s="799" t="s">
        <v>1471</v>
      </c>
      <c r="I304" s="1093"/>
      <c r="J304" s="810"/>
      <c r="K304" s="810"/>
      <c r="L304" s="810"/>
      <c r="M304" s="810"/>
      <c r="N304" s="810"/>
      <c r="O304" s="810"/>
      <c r="P304" s="810"/>
      <c r="Q304" s="810"/>
      <c r="R304" s="810"/>
      <c r="S304" s="810"/>
      <c r="T304" s="810"/>
      <c r="U304" s="810"/>
      <c r="V304" s="810"/>
      <c r="W304" s="779"/>
    </row>
    <row r="305" spans="1:23" s="775" customFormat="1" ht="17.100000000000001" customHeight="1" x14ac:dyDescent="0.25">
      <c r="A305" s="1408" t="s">
        <v>1476</v>
      </c>
      <c r="B305" s="1473"/>
      <c r="C305" s="1474" t="s">
        <v>1477</v>
      </c>
      <c r="D305" s="1421"/>
      <c r="E305" s="1421"/>
      <c r="F305" s="1421"/>
      <c r="G305" s="1475"/>
      <c r="H305" s="799" t="s">
        <v>1471</v>
      </c>
      <c r="I305" s="1093"/>
      <c r="J305" s="810"/>
      <c r="K305" s="810"/>
      <c r="L305" s="810"/>
      <c r="M305" s="810"/>
      <c r="N305" s="810"/>
      <c r="O305" s="810"/>
      <c r="P305" s="810"/>
      <c r="Q305" s="810"/>
      <c r="R305" s="810"/>
      <c r="S305" s="810"/>
      <c r="T305" s="810"/>
      <c r="U305" s="810"/>
      <c r="V305" s="810"/>
      <c r="W305" s="779"/>
    </row>
    <row r="306" spans="1:23" s="775" customFormat="1" ht="17.100000000000001" customHeight="1" x14ac:dyDescent="0.25">
      <c r="A306" s="1408" t="s">
        <v>1478</v>
      </c>
      <c r="B306" s="1473"/>
      <c r="C306" s="1474" t="s">
        <v>1479</v>
      </c>
      <c r="D306" s="1421"/>
      <c r="E306" s="1421"/>
      <c r="F306" s="1421"/>
      <c r="G306" s="1475"/>
      <c r="H306" s="799" t="s">
        <v>1471</v>
      </c>
      <c r="I306" s="1093"/>
      <c r="J306" s="810"/>
      <c r="K306" s="810"/>
      <c r="L306" s="810"/>
      <c r="M306" s="810"/>
      <c r="N306" s="810"/>
      <c r="O306" s="810"/>
      <c r="P306" s="810"/>
      <c r="Q306" s="810"/>
      <c r="R306" s="810"/>
      <c r="S306" s="810"/>
      <c r="T306" s="810"/>
      <c r="U306" s="810"/>
      <c r="V306" s="810"/>
      <c r="W306" s="779"/>
    </row>
    <row r="307" spans="1:23" s="775" customFormat="1" ht="8.1" customHeight="1" x14ac:dyDescent="0.25">
      <c r="A307" s="1408" t="s">
        <v>1480</v>
      </c>
      <c r="B307" s="1473"/>
      <c r="C307" s="1474" t="s">
        <v>1481</v>
      </c>
      <c r="D307" s="1421"/>
      <c r="E307" s="1421"/>
      <c r="F307" s="1421"/>
      <c r="G307" s="1475"/>
      <c r="H307" s="799" t="s">
        <v>1471</v>
      </c>
      <c r="I307" s="1093"/>
      <c r="J307" s="810"/>
      <c r="K307" s="810"/>
      <c r="L307" s="810"/>
      <c r="M307" s="810"/>
      <c r="N307" s="810"/>
      <c r="O307" s="810"/>
      <c r="P307" s="810"/>
      <c r="Q307" s="810"/>
      <c r="R307" s="810"/>
      <c r="S307" s="810"/>
      <c r="T307" s="810"/>
      <c r="U307" s="810"/>
      <c r="V307" s="810"/>
      <c r="W307" s="779"/>
    </row>
    <row r="308" spans="1:23" s="775" customFormat="1" ht="8.1" customHeight="1" x14ac:dyDescent="0.25">
      <c r="A308" s="1408" t="s">
        <v>1482</v>
      </c>
      <c r="B308" s="1473"/>
      <c r="C308" s="1474" t="s">
        <v>1483</v>
      </c>
      <c r="D308" s="1421"/>
      <c r="E308" s="1421"/>
      <c r="F308" s="1421"/>
      <c r="G308" s="1475"/>
      <c r="H308" s="799" t="s">
        <v>1471</v>
      </c>
      <c r="I308" s="831">
        <f>(I170-I26*1.18)/(I26*1.18)</f>
        <v>-0.1525</v>
      </c>
      <c r="J308" s="832">
        <f t="shared" ref="J308:P308" si="104">(J170-J26*1.18)/(J26*1.18)</f>
        <v>-0.1525</v>
      </c>
      <c r="K308" s="832">
        <f t="shared" si="104"/>
        <v>-0.1525</v>
      </c>
      <c r="L308" s="832">
        <f t="shared" si="104"/>
        <v>1.6899999999999998E-2</v>
      </c>
      <c r="M308" s="832"/>
      <c r="N308" s="832">
        <f t="shared" si="104"/>
        <v>1.6899999999999998E-2</v>
      </c>
      <c r="O308" s="832"/>
      <c r="P308" s="832">
        <f t="shared" si="104"/>
        <v>1.6899999999999998E-2</v>
      </c>
      <c r="Q308" s="832"/>
      <c r="R308" s="832">
        <f>(R170-R26*1.18)/(R26*1.18)</f>
        <v>1.6899999999999998E-2</v>
      </c>
      <c r="S308" s="832"/>
      <c r="T308" s="832">
        <f>(T170-T26*1.18)/(T26*1.18)</f>
        <v>1.6899999999999998E-2</v>
      </c>
      <c r="U308" s="832"/>
      <c r="V308" s="832">
        <f>(V170-V26*1.2)/(V26*1.2)</f>
        <v>-0.16669999999999999</v>
      </c>
      <c r="W308" s="833"/>
    </row>
    <row r="309" spans="1:23" s="775" customFormat="1" ht="8.1" customHeight="1" x14ac:dyDescent="0.25">
      <c r="A309" s="1408" t="s">
        <v>1484</v>
      </c>
      <c r="B309" s="1473"/>
      <c r="C309" s="1474" t="s">
        <v>1485</v>
      </c>
      <c r="D309" s="1421"/>
      <c r="E309" s="1421"/>
      <c r="F309" s="1421"/>
      <c r="G309" s="1475"/>
      <c r="H309" s="799" t="s">
        <v>1471</v>
      </c>
      <c r="I309" s="1093"/>
      <c r="J309" s="810"/>
      <c r="K309" s="810"/>
      <c r="L309" s="810"/>
      <c r="M309" s="810"/>
      <c r="N309" s="810"/>
      <c r="O309" s="810"/>
      <c r="P309" s="810"/>
      <c r="Q309" s="810"/>
      <c r="R309" s="810"/>
      <c r="S309" s="810"/>
      <c r="T309" s="810"/>
      <c r="U309" s="810"/>
      <c r="V309" s="810"/>
      <c r="W309" s="779"/>
    </row>
    <row r="310" spans="1:23" s="775" customFormat="1" ht="8.1" customHeight="1" x14ac:dyDescent="0.25">
      <c r="A310" s="1408" t="s">
        <v>1486</v>
      </c>
      <c r="B310" s="1473"/>
      <c r="C310" s="1474" t="s">
        <v>1487</v>
      </c>
      <c r="D310" s="1421"/>
      <c r="E310" s="1421"/>
      <c r="F310" s="1421"/>
      <c r="G310" s="1475"/>
      <c r="H310" s="799" t="s">
        <v>1471</v>
      </c>
      <c r="I310" s="815"/>
      <c r="J310" s="810"/>
      <c r="K310" s="810"/>
      <c r="L310" s="810"/>
      <c r="M310" s="810"/>
      <c r="N310" s="810"/>
      <c r="O310" s="810"/>
      <c r="P310" s="810"/>
      <c r="Q310" s="810"/>
      <c r="R310" s="810"/>
      <c r="S310" s="810"/>
      <c r="T310" s="810"/>
      <c r="U310" s="810"/>
      <c r="V310" s="810"/>
      <c r="W310" s="799"/>
    </row>
    <row r="311" spans="1:23" s="775" customFormat="1" ht="8.1" customHeight="1" x14ac:dyDescent="0.25">
      <c r="A311" s="1408" t="s">
        <v>1488</v>
      </c>
      <c r="B311" s="1473"/>
      <c r="C311" s="1474" t="s">
        <v>1489</v>
      </c>
      <c r="D311" s="1421"/>
      <c r="E311" s="1421"/>
      <c r="F311" s="1421"/>
      <c r="G311" s="1475"/>
      <c r="H311" s="799" t="s">
        <v>1471</v>
      </c>
      <c r="I311" s="815"/>
      <c r="J311" s="810"/>
      <c r="K311" s="810"/>
      <c r="L311" s="810"/>
      <c r="M311" s="810"/>
      <c r="N311" s="810"/>
      <c r="O311" s="810"/>
      <c r="P311" s="810"/>
      <c r="Q311" s="810"/>
      <c r="R311" s="810"/>
      <c r="S311" s="810"/>
      <c r="T311" s="810"/>
      <c r="U311" s="810"/>
      <c r="V311" s="810"/>
      <c r="W311" s="799"/>
    </row>
    <row r="312" spans="1:23" s="775" customFormat="1" ht="16.5" customHeight="1" x14ac:dyDescent="0.25">
      <c r="A312" s="1408" t="s">
        <v>1490</v>
      </c>
      <c r="B312" s="1473"/>
      <c r="C312" s="1474" t="s">
        <v>1491</v>
      </c>
      <c r="D312" s="1421"/>
      <c r="E312" s="1421"/>
      <c r="F312" s="1421"/>
      <c r="G312" s="1475"/>
      <c r="H312" s="799" t="s">
        <v>1471</v>
      </c>
      <c r="I312" s="815"/>
      <c r="J312" s="810"/>
      <c r="K312" s="810"/>
      <c r="L312" s="810"/>
      <c r="M312" s="810"/>
      <c r="N312" s="810"/>
      <c r="O312" s="810"/>
      <c r="P312" s="810"/>
      <c r="Q312" s="810"/>
      <c r="R312" s="810"/>
      <c r="S312" s="810"/>
      <c r="T312" s="810"/>
      <c r="U312" s="810"/>
      <c r="V312" s="810"/>
      <c r="W312" s="799"/>
    </row>
    <row r="313" spans="1:23" s="775" customFormat="1" ht="8.1" customHeight="1" x14ac:dyDescent="0.25">
      <c r="A313" s="1408" t="s">
        <v>1492</v>
      </c>
      <c r="B313" s="1473"/>
      <c r="C313" s="1483" t="s">
        <v>1112</v>
      </c>
      <c r="D313" s="1425"/>
      <c r="E313" s="1425"/>
      <c r="F313" s="1425"/>
      <c r="G313" s="1484"/>
      <c r="H313" s="799" t="s">
        <v>1471</v>
      </c>
      <c r="I313" s="815"/>
      <c r="J313" s="810"/>
      <c r="K313" s="810"/>
      <c r="L313" s="810"/>
      <c r="M313" s="810"/>
      <c r="N313" s="810"/>
      <c r="O313" s="810"/>
      <c r="P313" s="810"/>
      <c r="Q313" s="810"/>
      <c r="R313" s="810"/>
      <c r="S313" s="810"/>
      <c r="T313" s="810"/>
      <c r="U313" s="810"/>
      <c r="V313" s="810"/>
      <c r="W313" s="799"/>
    </row>
    <row r="314" spans="1:23" s="775" customFormat="1" ht="9" customHeight="1" thickBot="1" x14ac:dyDescent="0.3">
      <c r="A314" s="1434" t="s">
        <v>1493</v>
      </c>
      <c r="B314" s="1497"/>
      <c r="C314" s="1498" t="s">
        <v>988</v>
      </c>
      <c r="D314" s="1499"/>
      <c r="E314" s="1499"/>
      <c r="F314" s="1499"/>
      <c r="G314" s="1500"/>
      <c r="H314" s="825" t="s">
        <v>1471</v>
      </c>
      <c r="I314" s="834"/>
      <c r="J314" s="811"/>
      <c r="K314" s="811"/>
      <c r="L314" s="811"/>
      <c r="M314" s="811"/>
      <c r="N314" s="811"/>
      <c r="O314" s="811"/>
      <c r="P314" s="811"/>
      <c r="Q314" s="811"/>
      <c r="R314" s="811"/>
      <c r="S314" s="811"/>
      <c r="T314" s="811"/>
      <c r="U314" s="811"/>
      <c r="V314" s="811"/>
      <c r="W314" s="825"/>
    </row>
    <row r="315" spans="1:23" s="775" customFormat="1" ht="10.5" customHeight="1" thickBot="1" x14ac:dyDescent="0.25">
      <c r="A315" s="1466" t="s">
        <v>1494</v>
      </c>
      <c r="B315" s="1467"/>
      <c r="C315" s="1467"/>
      <c r="D315" s="1467"/>
      <c r="E315" s="1467"/>
      <c r="F315" s="1467"/>
      <c r="G315" s="1467"/>
      <c r="H315" s="1467"/>
      <c r="I315" s="1467"/>
      <c r="J315" s="1467"/>
      <c r="K315" s="1467"/>
      <c r="L315" s="1467"/>
      <c r="M315" s="1467"/>
      <c r="N315" s="1467"/>
      <c r="O315" s="1467"/>
      <c r="P315" s="1467"/>
      <c r="Q315" s="1467"/>
      <c r="R315" s="1467"/>
      <c r="S315" s="1467"/>
      <c r="T315" s="1467"/>
      <c r="U315" s="1467"/>
      <c r="V315" s="1467"/>
      <c r="W315" s="1468"/>
    </row>
    <row r="316" spans="1:23" s="775" customFormat="1" ht="17.25" customHeight="1" x14ac:dyDescent="0.25">
      <c r="A316" s="1478" t="s">
        <v>1495</v>
      </c>
      <c r="B316" s="1479"/>
      <c r="C316" s="1480" t="s">
        <v>1496</v>
      </c>
      <c r="D316" s="1481"/>
      <c r="E316" s="1481"/>
      <c r="F316" s="1481"/>
      <c r="G316" s="1482"/>
      <c r="H316" s="799" t="s">
        <v>830</v>
      </c>
      <c r="I316" s="815" t="s">
        <v>1497</v>
      </c>
      <c r="J316" s="810" t="s">
        <v>1497</v>
      </c>
      <c r="K316" s="810" t="s">
        <v>1497</v>
      </c>
      <c r="L316" s="810" t="s">
        <v>1497</v>
      </c>
      <c r="M316" s="810" t="s">
        <v>1497</v>
      </c>
      <c r="N316" s="810" t="s">
        <v>1497</v>
      </c>
      <c r="O316" s="810" t="s">
        <v>1497</v>
      </c>
      <c r="P316" s="810" t="s">
        <v>1497</v>
      </c>
      <c r="Q316" s="810" t="s">
        <v>1497</v>
      </c>
      <c r="R316" s="810" t="s">
        <v>1497</v>
      </c>
      <c r="S316" s="810" t="s">
        <v>1497</v>
      </c>
      <c r="T316" s="810" t="s">
        <v>1497</v>
      </c>
      <c r="U316" s="810" t="s">
        <v>1497</v>
      </c>
      <c r="V316" s="810" t="s">
        <v>1497</v>
      </c>
      <c r="W316" s="799" t="s">
        <v>1497</v>
      </c>
    </row>
    <row r="317" spans="1:23" s="775" customFormat="1" ht="10.5" customHeight="1" x14ac:dyDescent="0.25">
      <c r="A317" s="1408" t="s">
        <v>1498</v>
      </c>
      <c r="B317" s="1473"/>
      <c r="C317" s="1476" t="s">
        <v>1499</v>
      </c>
      <c r="D317" s="1411"/>
      <c r="E317" s="1411"/>
      <c r="F317" s="1411"/>
      <c r="G317" s="1477"/>
      <c r="H317" s="799" t="s">
        <v>2</v>
      </c>
      <c r="I317" s="815"/>
      <c r="J317" s="810"/>
      <c r="K317" s="810"/>
      <c r="L317" s="810"/>
      <c r="M317" s="810"/>
      <c r="N317" s="810"/>
      <c r="O317" s="810"/>
      <c r="P317" s="810"/>
      <c r="Q317" s="810"/>
      <c r="R317" s="810"/>
      <c r="S317" s="810"/>
      <c r="T317" s="810"/>
      <c r="U317" s="810"/>
      <c r="V317" s="810"/>
      <c r="W317" s="799"/>
    </row>
    <row r="318" spans="1:23" s="775" customFormat="1" ht="8.25" customHeight="1" x14ac:dyDescent="0.25">
      <c r="A318" s="1408" t="s">
        <v>1500</v>
      </c>
      <c r="B318" s="1473"/>
      <c r="C318" s="1476" t="s">
        <v>1501</v>
      </c>
      <c r="D318" s="1411"/>
      <c r="E318" s="1411"/>
      <c r="F318" s="1411"/>
      <c r="G318" s="1477"/>
      <c r="H318" s="799" t="s">
        <v>1502</v>
      </c>
      <c r="I318" s="815"/>
      <c r="J318" s="810"/>
      <c r="K318" s="810"/>
      <c r="L318" s="810"/>
      <c r="M318" s="810"/>
      <c r="N318" s="810"/>
      <c r="O318" s="810"/>
      <c r="P318" s="810"/>
      <c r="Q318" s="810"/>
      <c r="R318" s="810"/>
      <c r="S318" s="810"/>
      <c r="T318" s="810"/>
      <c r="U318" s="810"/>
      <c r="V318" s="810"/>
      <c r="W318" s="799"/>
    </row>
    <row r="319" spans="1:23" s="775" customFormat="1" ht="8.25" customHeight="1" x14ac:dyDescent="0.25">
      <c r="A319" s="1408" t="s">
        <v>1503</v>
      </c>
      <c r="B319" s="1473"/>
      <c r="C319" s="1476" t="s">
        <v>1504</v>
      </c>
      <c r="D319" s="1411"/>
      <c r="E319" s="1411"/>
      <c r="F319" s="1411"/>
      <c r="G319" s="1477"/>
      <c r="H319" s="799" t="s">
        <v>2</v>
      </c>
      <c r="I319" s="815"/>
      <c r="J319" s="810"/>
      <c r="K319" s="810"/>
      <c r="L319" s="810"/>
      <c r="M319" s="810"/>
      <c r="N319" s="810"/>
      <c r="O319" s="810"/>
      <c r="P319" s="810"/>
      <c r="Q319" s="810"/>
      <c r="R319" s="810"/>
      <c r="S319" s="810"/>
      <c r="T319" s="810"/>
      <c r="U319" s="810"/>
      <c r="V319" s="810"/>
      <c r="W319" s="799"/>
    </row>
    <row r="320" spans="1:23" s="775" customFormat="1" ht="8.25" customHeight="1" x14ac:dyDescent="0.25">
      <c r="A320" s="1408" t="s">
        <v>1505</v>
      </c>
      <c r="B320" s="1473"/>
      <c r="C320" s="1476" t="s">
        <v>1506</v>
      </c>
      <c r="D320" s="1411"/>
      <c r="E320" s="1411"/>
      <c r="F320" s="1411"/>
      <c r="G320" s="1477"/>
      <c r="H320" s="799" t="s">
        <v>1502</v>
      </c>
      <c r="I320" s="815"/>
      <c r="J320" s="810"/>
      <c r="K320" s="810"/>
      <c r="L320" s="810"/>
      <c r="M320" s="810"/>
      <c r="N320" s="810"/>
      <c r="O320" s="810"/>
      <c r="P320" s="810"/>
      <c r="Q320" s="810"/>
      <c r="R320" s="810"/>
      <c r="S320" s="810"/>
      <c r="T320" s="810"/>
      <c r="U320" s="810"/>
      <c r="V320" s="810"/>
      <c r="W320" s="799"/>
    </row>
    <row r="321" spans="1:23" s="775" customFormat="1" ht="8.25" customHeight="1" x14ac:dyDescent="0.25">
      <c r="A321" s="1408" t="s">
        <v>1507</v>
      </c>
      <c r="B321" s="1473"/>
      <c r="C321" s="1476" t="s">
        <v>1508</v>
      </c>
      <c r="D321" s="1411"/>
      <c r="E321" s="1411"/>
      <c r="F321" s="1411"/>
      <c r="G321" s="1477"/>
      <c r="H321" s="799" t="s">
        <v>1509</v>
      </c>
      <c r="I321" s="815"/>
      <c r="J321" s="810"/>
      <c r="K321" s="810"/>
      <c r="L321" s="810"/>
      <c r="M321" s="810"/>
      <c r="N321" s="810"/>
      <c r="O321" s="810"/>
      <c r="P321" s="810"/>
      <c r="Q321" s="810"/>
      <c r="R321" s="810"/>
      <c r="S321" s="810"/>
      <c r="T321" s="810"/>
      <c r="U321" s="810"/>
      <c r="V321" s="810"/>
      <c r="W321" s="799"/>
    </row>
    <row r="322" spans="1:23" s="775" customFormat="1" ht="8.25" customHeight="1" x14ac:dyDescent="0.25">
      <c r="A322" s="1408" t="s">
        <v>1510</v>
      </c>
      <c r="B322" s="1473"/>
      <c r="C322" s="1476" t="s">
        <v>1511</v>
      </c>
      <c r="D322" s="1411"/>
      <c r="E322" s="1411"/>
      <c r="F322" s="1411"/>
      <c r="G322" s="1477"/>
      <c r="H322" s="799" t="s">
        <v>830</v>
      </c>
      <c r="I322" s="815" t="s">
        <v>1497</v>
      </c>
      <c r="J322" s="810" t="s">
        <v>1497</v>
      </c>
      <c r="K322" s="810" t="s">
        <v>1497</v>
      </c>
      <c r="L322" s="810" t="s">
        <v>1497</v>
      </c>
      <c r="M322" s="810" t="s">
        <v>1497</v>
      </c>
      <c r="N322" s="810" t="s">
        <v>1497</v>
      </c>
      <c r="O322" s="810" t="s">
        <v>1497</v>
      </c>
      <c r="P322" s="810" t="s">
        <v>1497</v>
      </c>
      <c r="Q322" s="810" t="s">
        <v>1497</v>
      </c>
      <c r="R322" s="810" t="s">
        <v>1497</v>
      </c>
      <c r="S322" s="810" t="s">
        <v>1497</v>
      </c>
      <c r="T322" s="810" t="s">
        <v>1497</v>
      </c>
      <c r="U322" s="810" t="s">
        <v>1497</v>
      </c>
      <c r="V322" s="810" t="s">
        <v>1497</v>
      </c>
      <c r="W322" s="799" t="s">
        <v>1497</v>
      </c>
    </row>
    <row r="323" spans="1:23" s="775" customFormat="1" ht="8.1" customHeight="1" x14ac:dyDescent="0.25">
      <c r="A323" s="1408" t="s">
        <v>1512</v>
      </c>
      <c r="B323" s="1473"/>
      <c r="C323" s="1474" t="s">
        <v>1513</v>
      </c>
      <c r="D323" s="1421"/>
      <c r="E323" s="1421"/>
      <c r="F323" s="1421"/>
      <c r="G323" s="1475"/>
      <c r="H323" s="799" t="s">
        <v>1509</v>
      </c>
      <c r="I323" s="815"/>
      <c r="J323" s="810"/>
      <c r="K323" s="810"/>
      <c r="L323" s="810"/>
      <c r="M323" s="810"/>
      <c r="N323" s="810"/>
      <c r="O323" s="810"/>
      <c r="P323" s="810"/>
      <c r="Q323" s="810"/>
      <c r="R323" s="810"/>
      <c r="S323" s="810"/>
      <c r="T323" s="810"/>
      <c r="U323" s="810"/>
      <c r="V323" s="810"/>
      <c r="W323" s="799"/>
    </row>
    <row r="324" spans="1:23" s="775" customFormat="1" ht="8.1" customHeight="1" x14ac:dyDescent="0.25">
      <c r="A324" s="1408" t="s">
        <v>1514</v>
      </c>
      <c r="B324" s="1473"/>
      <c r="C324" s="1474" t="s">
        <v>1515</v>
      </c>
      <c r="D324" s="1421"/>
      <c r="E324" s="1421"/>
      <c r="F324" s="1421"/>
      <c r="G324" s="1475"/>
      <c r="H324" s="799" t="s">
        <v>1516</v>
      </c>
      <c r="I324" s="815"/>
      <c r="J324" s="810"/>
      <c r="K324" s="810"/>
      <c r="L324" s="810"/>
      <c r="M324" s="810"/>
      <c r="N324" s="810"/>
      <c r="O324" s="810"/>
      <c r="P324" s="810"/>
      <c r="Q324" s="810"/>
      <c r="R324" s="810"/>
      <c r="S324" s="810"/>
      <c r="T324" s="810"/>
      <c r="U324" s="810"/>
      <c r="V324" s="810"/>
      <c r="W324" s="799"/>
    </row>
    <row r="325" spans="1:23" s="775" customFormat="1" ht="8.25" customHeight="1" x14ac:dyDescent="0.25">
      <c r="A325" s="1408" t="s">
        <v>1517</v>
      </c>
      <c r="B325" s="1473"/>
      <c r="C325" s="1476" t="s">
        <v>1518</v>
      </c>
      <c r="D325" s="1411"/>
      <c r="E325" s="1411"/>
      <c r="F325" s="1411"/>
      <c r="G325" s="1477"/>
      <c r="H325" s="799" t="s">
        <v>830</v>
      </c>
      <c r="I325" s="815" t="s">
        <v>1497</v>
      </c>
      <c r="J325" s="810" t="s">
        <v>1497</v>
      </c>
      <c r="K325" s="810" t="s">
        <v>1497</v>
      </c>
      <c r="L325" s="810" t="s">
        <v>1497</v>
      </c>
      <c r="M325" s="810" t="s">
        <v>1497</v>
      </c>
      <c r="N325" s="810" t="s">
        <v>1497</v>
      </c>
      <c r="O325" s="810" t="s">
        <v>1497</v>
      </c>
      <c r="P325" s="810" t="s">
        <v>1497</v>
      </c>
      <c r="Q325" s="810" t="s">
        <v>1497</v>
      </c>
      <c r="R325" s="810" t="s">
        <v>1497</v>
      </c>
      <c r="S325" s="810" t="s">
        <v>1497</v>
      </c>
      <c r="T325" s="810" t="s">
        <v>1497</v>
      </c>
      <c r="U325" s="810" t="s">
        <v>1497</v>
      </c>
      <c r="V325" s="810" t="s">
        <v>1497</v>
      </c>
      <c r="W325" s="799" t="s">
        <v>1497</v>
      </c>
    </row>
    <row r="326" spans="1:23" s="775" customFormat="1" ht="8.1" customHeight="1" x14ac:dyDescent="0.25">
      <c r="A326" s="1408" t="s">
        <v>1519</v>
      </c>
      <c r="B326" s="1473"/>
      <c r="C326" s="1474" t="s">
        <v>1513</v>
      </c>
      <c r="D326" s="1421"/>
      <c r="E326" s="1421"/>
      <c r="F326" s="1421"/>
      <c r="G326" s="1475"/>
      <c r="H326" s="799" t="s">
        <v>1509</v>
      </c>
      <c r="I326" s="815"/>
      <c r="J326" s="810"/>
      <c r="K326" s="810"/>
      <c r="L326" s="810"/>
      <c r="M326" s="810"/>
      <c r="N326" s="810"/>
      <c r="O326" s="810"/>
      <c r="P326" s="810"/>
      <c r="Q326" s="810"/>
      <c r="R326" s="810"/>
      <c r="S326" s="810"/>
      <c r="T326" s="810"/>
      <c r="U326" s="810"/>
      <c r="V326" s="810"/>
      <c r="W326" s="799"/>
    </row>
    <row r="327" spans="1:23" s="775" customFormat="1" ht="8.1" customHeight="1" x14ac:dyDescent="0.25">
      <c r="A327" s="1408" t="s">
        <v>1520</v>
      </c>
      <c r="B327" s="1473"/>
      <c r="C327" s="1474" t="s">
        <v>1521</v>
      </c>
      <c r="D327" s="1421"/>
      <c r="E327" s="1421"/>
      <c r="F327" s="1421"/>
      <c r="G327" s="1475"/>
      <c r="H327" s="799" t="s">
        <v>2</v>
      </c>
      <c r="I327" s="815"/>
      <c r="J327" s="810"/>
      <c r="K327" s="810"/>
      <c r="L327" s="810"/>
      <c r="M327" s="810"/>
      <c r="N327" s="810"/>
      <c r="O327" s="810"/>
      <c r="P327" s="810"/>
      <c r="Q327" s="810"/>
      <c r="R327" s="810"/>
      <c r="S327" s="810"/>
      <c r="T327" s="810"/>
      <c r="U327" s="810"/>
      <c r="V327" s="810"/>
      <c r="W327" s="799"/>
    </row>
    <row r="328" spans="1:23" s="775" customFormat="1" ht="8.1" customHeight="1" x14ac:dyDescent="0.25">
      <c r="A328" s="1408" t="s">
        <v>1522</v>
      </c>
      <c r="B328" s="1473"/>
      <c r="C328" s="1474" t="s">
        <v>1515</v>
      </c>
      <c r="D328" s="1421"/>
      <c r="E328" s="1421"/>
      <c r="F328" s="1421"/>
      <c r="G328" s="1475"/>
      <c r="H328" s="799" t="s">
        <v>1516</v>
      </c>
      <c r="I328" s="815"/>
      <c r="J328" s="810"/>
      <c r="K328" s="810"/>
      <c r="L328" s="810"/>
      <c r="M328" s="810"/>
      <c r="N328" s="810"/>
      <c r="O328" s="810"/>
      <c r="P328" s="810"/>
      <c r="Q328" s="810"/>
      <c r="R328" s="810"/>
      <c r="S328" s="810"/>
      <c r="T328" s="810"/>
      <c r="U328" s="810"/>
      <c r="V328" s="810"/>
      <c r="W328" s="799"/>
    </row>
    <row r="329" spans="1:23" s="775" customFormat="1" ht="8.25" customHeight="1" x14ac:dyDescent="0.25">
      <c r="A329" s="1408" t="s">
        <v>1523</v>
      </c>
      <c r="B329" s="1473"/>
      <c r="C329" s="1476" t="s">
        <v>1524</v>
      </c>
      <c r="D329" s="1411"/>
      <c r="E329" s="1411"/>
      <c r="F329" s="1411"/>
      <c r="G329" s="1477"/>
      <c r="H329" s="799" t="s">
        <v>830</v>
      </c>
      <c r="I329" s="815" t="s">
        <v>1497</v>
      </c>
      <c r="J329" s="810" t="s">
        <v>1497</v>
      </c>
      <c r="K329" s="810" t="s">
        <v>1497</v>
      </c>
      <c r="L329" s="810" t="s">
        <v>1497</v>
      </c>
      <c r="M329" s="810" t="s">
        <v>1497</v>
      </c>
      <c r="N329" s="810" t="s">
        <v>1497</v>
      </c>
      <c r="O329" s="810" t="s">
        <v>1497</v>
      </c>
      <c r="P329" s="810" t="s">
        <v>1497</v>
      </c>
      <c r="Q329" s="810" t="s">
        <v>1497</v>
      </c>
      <c r="R329" s="810" t="s">
        <v>1497</v>
      </c>
      <c r="S329" s="810" t="s">
        <v>1497</v>
      </c>
      <c r="T329" s="810" t="s">
        <v>1497</v>
      </c>
      <c r="U329" s="810" t="s">
        <v>1497</v>
      </c>
      <c r="V329" s="810" t="s">
        <v>1497</v>
      </c>
      <c r="W329" s="799" t="s">
        <v>1497</v>
      </c>
    </row>
    <row r="330" spans="1:23" s="775" customFormat="1" ht="8.1" customHeight="1" x14ac:dyDescent="0.25">
      <c r="A330" s="1408" t="s">
        <v>1525</v>
      </c>
      <c r="B330" s="1473"/>
      <c r="C330" s="1474" t="s">
        <v>1513</v>
      </c>
      <c r="D330" s="1421"/>
      <c r="E330" s="1421"/>
      <c r="F330" s="1421"/>
      <c r="G330" s="1475"/>
      <c r="H330" s="799" t="s">
        <v>1509</v>
      </c>
      <c r="I330" s="815"/>
      <c r="J330" s="810"/>
      <c r="K330" s="810"/>
      <c r="L330" s="810"/>
      <c r="M330" s="810"/>
      <c r="N330" s="810"/>
      <c r="O330" s="810"/>
      <c r="P330" s="810"/>
      <c r="Q330" s="810"/>
      <c r="R330" s="810"/>
      <c r="S330" s="810"/>
      <c r="T330" s="810"/>
      <c r="U330" s="810"/>
      <c r="V330" s="810"/>
      <c r="W330" s="799"/>
    </row>
    <row r="331" spans="1:23" s="775" customFormat="1" ht="8.1" customHeight="1" x14ac:dyDescent="0.25">
      <c r="A331" s="1408" t="s">
        <v>1526</v>
      </c>
      <c r="B331" s="1473"/>
      <c r="C331" s="1474" t="s">
        <v>1515</v>
      </c>
      <c r="D331" s="1421"/>
      <c r="E331" s="1421"/>
      <c r="F331" s="1421"/>
      <c r="G331" s="1475"/>
      <c r="H331" s="799" t="s">
        <v>1516</v>
      </c>
      <c r="I331" s="815"/>
      <c r="J331" s="810"/>
      <c r="K331" s="810"/>
      <c r="L331" s="810"/>
      <c r="M331" s="810"/>
      <c r="N331" s="810"/>
      <c r="O331" s="810"/>
      <c r="P331" s="810"/>
      <c r="Q331" s="810"/>
      <c r="R331" s="810"/>
      <c r="S331" s="810"/>
      <c r="T331" s="810"/>
      <c r="U331" s="810"/>
      <c r="V331" s="810"/>
      <c r="W331" s="799"/>
    </row>
    <row r="332" spans="1:23" s="775" customFormat="1" ht="8.25" customHeight="1" x14ac:dyDescent="0.25">
      <c r="A332" s="1408" t="s">
        <v>1527</v>
      </c>
      <c r="B332" s="1473"/>
      <c r="C332" s="1476" t="s">
        <v>1528</v>
      </c>
      <c r="D332" s="1411"/>
      <c r="E332" s="1411"/>
      <c r="F332" s="1411"/>
      <c r="G332" s="1477"/>
      <c r="H332" s="799" t="s">
        <v>830</v>
      </c>
      <c r="I332" s="815" t="s">
        <v>1497</v>
      </c>
      <c r="J332" s="810" t="s">
        <v>1497</v>
      </c>
      <c r="K332" s="810" t="s">
        <v>1497</v>
      </c>
      <c r="L332" s="810" t="s">
        <v>1497</v>
      </c>
      <c r="M332" s="810" t="s">
        <v>1497</v>
      </c>
      <c r="N332" s="810" t="s">
        <v>1497</v>
      </c>
      <c r="O332" s="810" t="s">
        <v>1497</v>
      </c>
      <c r="P332" s="810" t="s">
        <v>1497</v>
      </c>
      <c r="Q332" s="810" t="s">
        <v>1497</v>
      </c>
      <c r="R332" s="810" t="s">
        <v>1497</v>
      </c>
      <c r="S332" s="810" t="s">
        <v>1497</v>
      </c>
      <c r="T332" s="810" t="s">
        <v>1497</v>
      </c>
      <c r="U332" s="810" t="s">
        <v>1497</v>
      </c>
      <c r="V332" s="810" t="s">
        <v>1497</v>
      </c>
      <c r="W332" s="799" t="s">
        <v>1497</v>
      </c>
    </row>
    <row r="333" spans="1:23" s="775" customFormat="1" ht="8.1" customHeight="1" x14ac:dyDescent="0.25">
      <c r="A333" s="1408" t="s">
        <v>1529</v>
      </c>
      <c r="B333" s="1473"/>
      <c r="C333" s="1474" t="s">
        <v>1513</v>
      </c>
      <c r="D333" s="1421"/>
      <c r="E333" s="1421"/>
      <c r="F333" s="1421"/>
      <c r="G333" s="1475"/>
      <c r="H333" s="799" t="s">
        <v>1509</v>
      </c>
      <c r="I333" s="815"/>
      <c r="J333" s="810"/>
      <c r="K333" s="810"/>
      <c r="L333" s="810"/>
      <c r="M333" s="810"/>
      <c r="N333" s="810"/>
      <c r="O333" s="810"/>
      <c r="P333" s="810"/>
      <c r="Q333" s="810"/>
      <c r="R333" s="810"/>
      <c r="S333" s="810"/>
      <c r="T333" s="810"/>
      <c r="U333" s="810"/>
      <c r="V333" s="810"/>
      <c r="W333" s="799"/>
    </row>
    <row r="334" spans="1:23" s="775" customFormat="1" ht="8.1" customHeight="1" x14ac:dyDescent="0.25">
      <c r="A334" s="1408" t="s">
        <v>1530</v>
      </c>
      <c r="B334" s="1473"/>
      <c r="C334" s="1474" t="s">
        <v>1521</v>
      </c>
      <c r="D334" s="1421"/>
      <c r="E334" s="1421"/>
      <c r="F334" s="1421"/>
      <c r="G334" s="1475"/>
      <c r="H334" s="799" t="s">
        <v>2</v>
      </c>
      <c r="I334" s="815"/>
      <c r="J334" s="810"/>
      <c r="K334" s="810"/>
      <c r="L334" s="810"/>
      <c r="M334" s="810"/>
      <c r="N334" s="810"/>
      <c r="O334" s="810"/>
      <c r="P334" s="810"/>
      <c r="Q334" s="810"/>
      <c r="R334" s="810"/>
      <c r="S334" s="810"/>
      <c r="T334" s="810"/>
      <c r="U334" s="810"/>
      <c r="V334" s="810"/>
      <c r="W334" s="799"/>
    </row>
    <row r="335" spans="1:23" s="775" customFormat="1" ht="8.1" customHeight="1" x14ac:dyDescent="0.25">
      <c r="A335" s="1408" t="s">
        <v>1531</v>
      </c>
      <c r="B335" s="1473"/>
      <c r="C335" s="1474" t="s">
        <v>1515</v>
      </c>
      <c r="D335" s="1421"/>
      <c r="E335" s="1421"/>
      <c r="F335" s="1421"/>
      <c r="G335" s="1475"/>
      <c r="H335" s="799" t="s">
        <v>1516</v>
      </c>
      <c r="I335" s="815"/>
      <c r="J335" s="810"/>
      <c r="K335" s="810"/>
      <c r="L335" s="810"/>
      <c r="M335" s="810"/>
      <c r="N335" s="810"/>
      <c r="O335" s="810"/>
      <c r="P335" s="810"/>
      <c r="Q335" s="810"/>
      <c r="R335" s="810"/>
      <c r="S335" s="810"/>
      <c r="T335" s="810"/>
      <c r="U335" s="810"/>
      <c r="V335" s="810"/>
      <c r="W335" s="799"/>
    </row>
    <row r="336" spans="1:23" s="775" customFormat="1" ht="9" customHeight="1" x14ac:dyDescent="0.25">
      <c r="A336" s="1478" t="s">
        <v>1532</v>
      </c>
      <c r="B336" s="1479"/>
      <c r="C336" s="1480" t="s">
        <v>1533</v>
      </c>
      <c r="D336" s="1481"/>
      <c r="E336" s="1481"/>
      <c r="F336" s="1481"/>
      <c r="G336" s="1482"/>
      <c r="H336" s="799" t="s">
        <v>830</v>
      </c>
      <c r="I336" s="815" t="s">
        <v>1497</v>
      </c>
      <c r="J336" s="810" t="s">
        <v>1497</v>
      </c>
      <c r="K336" s="810" t="s">
        <v>1497</v>
      </c>
      <c r="L336" s="810" t="s">
        <v>1497</v>
      </c>
      <c r="M336" s="810" t="s">
        <v>1497</v>
      </c>
      <c r="N336" s="810" t="s">
        <v>1497</v>
      </c>
      <c r="O336" s="810" t="s">
        <v>1497</v>
      </c>
      <c r="P336" s="810" t="s">
        <v>1497</v>
      </c>
      <c r="Q336" s="810" t="s">
        <v>1497</v>
      </c>
      <c r="R336" s="810" t="s">
        <v>1497</v>
      </c>
      <c r="S336" s="810" t="s">
        <v>1497</v>
      </c>
      <c r="T336" s="810" t="s">
        <v>1497</v>
      </c>
      <c r="U336" s="810" t="s">
        <v>1497</v>
      </c>
      <c r="V336" s="810" t="s">
        <v>1497</v>
      </c>
      <c r="W336" s="799" t="s">
        <v>1497</v>
      </c>
    </row>
    <row r="337" spans="1:23" s="775" customFormat="1" ht="11.25" customHeight="1" x14ac:dyDescent="0.25">
      <c r="A337" s="1408" t="s">
        <v>1534</v>
      </c>
      <c r="B337" s="1473"/>
      <c r="C337" s="1476" t="s">
        <v>1535</v>
      </c>
      <c r="D337" s="1411"/>
      <c r="E337" s="1411"/>
      <c r="F337" s="1411"/>
      <c r="G337" s="1477"/>
      <c r="H337" s="799" t="s">
        <v>1509</v>
      </c>
      <c r="I337" s="815">
        <v>1992.117</v>
      </c>
      <c r="J337" s="810">
        <v>1997.8879999999999</v>
      </c>
      <c r="K337" s="810">
        <v>1924.1</v>
      </c>
      <c r="L337" s="810">
        <v>1996.912</v>
      </c>
      <c r="M337" s="810" t="s">
        <v>1497</v>
      </c>
      <c r="N337" s="810">
        <v>1945.117</v>
      </c>
      <c r="O337" s="810" t="s">
        <v>1497</v>
      </c>
      <c r="P337" s="810"/>
      <c r="Q337" s="810" t="s">
        <v>1497</v>
      </c>
      <c r="R337" s="810"/>
      <c r="S337" s="810" t="s">
        <v>1497</v>
      </c>
      <c r="T337" s="810"/>
      <c r="U337" s="810" t="s">
        <v>1497</v>
      </c>
      <c r="V337" s="810">
        <f>L337+N337+P337+R337+T337</f>
        <v>3942.029</v>
      </c>
      <c r="W337" s="810" t="s">
        <v>1497</v>
      </c>
    </row>
    <row r="338" spans="1:23" s="775" customFormat="1" ht="16.5" customHeight="1" x14ac:dyDescent="0.25">
      <c r="A338" s="1408" t="s">
        <v>1536</v>
      </c>
      <c r="B338" s="1473"/>
      <c r="C338" s="1474" t="s">
        <v>1537</v>
      </c>
      <c r="D338" s="1421"/>
      <c r="E338" s="1421"/>
      <c r="F338" s="1421"/>
      <c r="G338" s="1475"/>
      <c r="H338" s="799" t="s">
        <v>1509</v>
      </c>
      <c r="I338" s="815"/>
      <c r="J338" s="810"/>
      <c r="K338" s="810"/>
      <c r="L338" s="810"/>
      <c r="M338" s="810"/>
      <c r="N338" s="810"/>
      <c r="O338" s="810"/>
      <c r="P338" s="810"/>
      <c r="Q338" s="810"/>
      <c r="R338" s="810"/>
      <c r="S338" s="810"/>
      <c r="T338" s="810"/>
      <c r="U338" s="810"/>
      <c r="V338" s="810"/>
      <c r="W338" s="799"/>
    </row>
    <row r="339" spans="1:23" s="775" customFormat="1" ht="8.1" customHeight="1" x14ac:dyDescent="0.25">
      <c r="A339" s="1408" t="s">
        <v>1538</v>
      </c>
      <c r="B339" s="1473"/>
      <c r="C339" s="1483" t="s">
        <v>1539</v>
      </c>
      <c r="D339" s="1425"/>
      <c r="E339" s="1425"/>
      <c r="F339" s="1425"/>
      <c r="G339" s="1484"/>
      <c r="H339" s="799" t="s">
        <v>1509</v>
      </c>
      <c r="I339" s="815"/>
      <c r="J339" s="810"/>
      <c r="K339" s="810"/>
      <c r="L339" s="810"/>
      <c r="M339" s="810"/>
      <c r="N339" s="810"/>
      <c r="O339" s="810"/>
      <c r="P339" s="810"/>
      <c r="Q339" s="810"/>
      <c r="R339" s="810"/>
      <c r="S339" s="810"/>
      <c r="T339" s="810"/>
      <c r="U339" s="810"/>
      <c r="V339" s="810"/>
      <c r="W339" s="799"/>
    </row>
    <row r="340" spans="1:23" s="775" customFormat="1" ht="8.1" customHeight="1" x14ac:dyDescent="0.25">
      <c r="A340" s="1408" t="s">
        <v>1540</v>
      </c>
      <c r="B340" s="1473"/>
      <c r="C340" s="1483" t="s">
        <v>1541</v>
      </c>
      <c r="D340" s="1425"/>
      <c r="E340" s="1425"/>
      <c r="F340" s="1425"/>
      <c r="G340" s="1484"/>
      <c r="H340" s="799" t="s">
        <v>1509</v>
      </c>
      <c r="I340" s="815"/>
      <c r="J340" s="810"/>
      <c r="K340" s="810"/>
      <c r="L340" s="810"/>
      <c r="M340" s="810"/>
      <c r="N340" s="810"/>
      <c r="O340" s="810"/>
      <c r="P340" s="810"/>
      <c r="Q340" s="810"/>
      <c r="R340" s="810"/>
      <c r="S340" s="810"/>
      <c r="T340" s="810"/>
      <c r="U340" s="810"/>
      <c r="V340" s="810"/>
      <c r="W340" s="799"/>
    </row>
    <row r="341" spans="1:23" s="775" customFormat="1" ht="8.25" customHeight="1" x14ac:dyDescent="0.25">
      <c r="A341" s="1408" t="s">
        <v>1542</v>
      </c>
      <c r="B341" s="1473"/>
      <c r="C341" s="1476" t="s">
        <v>1543</v>
      </c>
      <c r="D341" s="1411"/>
      <c r="E341" s="1411"/>
      <c r="F341" s="1411"/>
      <c r="G341" s="1477"/>
      <c r="H341" s="799" t="s">
        <v>1509</v>
      </c>
      <c r="I341" s="815">
        <v>293.15899999999999</v>
      </c>
      <c r="J341" s="810">
        <v>294.67200000000003</v>
      </c>
      <c r="K341" s="810">
        <v>307.83</v>
      </c>
      <c r="L341" s="810">
        <v>298.49900000000002</v>
      </c>
      <c r="M341" s="810" t="s">
        <v>1497</v>
      </c>
      <c r="N341" s="810">
        <v>291.88299999999998</v>
      </c>
      <c r="O341" s="810" t="s">
        <v>1497</v>
      </c>
      <c r="P341" s="810"/>
      <c r="Q341" s="810" t="s">
        <v>1497</v>
      </c>
      <c r="R341" s="810"/>
      <c r="S341" s="810" t="s">
        <v>1497</v>
      </c>
      <c r="T341" s="810"/>
      <c r="U341" s="810" t="s">
        <v>1497</v>
      </c>
      <c r="V341" s="810">
        <f>L341+N341+P341+R341+T341</f>
        <v>590.38199999999995</v>
      </c>
      <c r="W341" s="810" t="s">
        <v>1497</v>
      </c>
    </row>
    <row r="342" spans="1:23" s="775" customFormat="1" ht="8.25" customHeight="1" x14ac:dyDescent="0.25">
      <c r="A342" s="1408" t="s">
        <v>1544</v>
      </c>
      <c r="B342" s="1473"/>
      <c r="C342" s="1476" t="s">
        <v>1545</v>
      </c>
      <c r="D342" s="1411"/>
      <c r="E342" s="1411"/>
      <c r="F342" s="1411"/>
      <c r="G342" s="1477"/>
      <c r="H342" s="799" t="s">
        <v>2</v>
      </c>
      <c r="I342" s="815"/>
      <c r="J342" s="810"/>
      <c r="K342" s="810"/>
      <c r="L342" s="810"/>
      <c r="M342" s="810"/>
      <c r="N342" s="810"/>
      <c r="O342" s="810"/>
      <c r="P342" s="810"/>
      <c r="Q342" s="810"/>
      <c r="R342" s="810"/>
      <c r="S342" s="810"/>
      <c r="T342" s="810"/>
      <c r="U342" s="810"/>
      <c r="V342" s="810"/>
      <c r="W342" s="799"/>
    </row>
    <row r="343" spans="1:23" s="775" customFormat="1" ht="16.5" customHeight="1" x14ac:dyDescent="0.25">
      <c r="A343" s="1408" t="s">
        <v>1546</v>
      </c>
      <c r="B343" s="1473"/>
      <c r="C343" s="1474" t="s">
        <v>1547</v>
      </c>
      <c r="D343" s="1421"/>
      <c r="E343" s="1421"/>
      <c r="F343" s="1421"/>
      <c r="G343" s="1475"/>
      <c r="H343" s="799" t="s">
        <v>2</v>
      </c>
      <c r="I343" s="1093"/>
      <c r="J343" s="810"/>
      <c r="K343" s="810"/>
      <c r="L343" s="810"/>
      <c r="M343" s="810"/>
      <c r="N343" s="810"/>
      <c r="O343" s="810"/>
      <c r="P343" s="810"/>
      <c r="Q343" s="810"/>
      <c r="R343" s="810"/>
      <c r="S343" s="810"/>
      <c r="T343" s="810"/>
      <c r="U343" s="810"/>
      <c r="V343" s="810"/>
      <c r="W343" s="779"/>
    </row>
    <row r="344" spans="1:23" s="775" customFormat="1" ht="8.1" customHeight="1" x14ac:dyDescent="0.25">
      <c r="A344" s="1408" t="s">
        <v>1548</v>
      </c>
      <c r="B344" s="1473"/>
      <c r="C344" s="1483" t="s">
        <v>1539</v>
      </c>
      <c r="D344" s="1425"/>
      <c r="E344" s="1425"/>
      <c r="F344" s="1425"/>
      <c r="G344" s="1484"/>
      <c r="H344" s="799" t="s">
        <v>2</v>
      </c>
      <c r="I344" s="1093"/>
      <c r="J344" s="810"/>
      <c r="K344" s="810"/>
      <c r="L344" s="810"/>
      <c r="M344" s="810"/>
      <c r="N344" s="810"/>
      <c r="O344" s="810"/>
      <c r="P344" s="810"/>
      <c r="Q344" s="810"/>
      <c r="R344" s="810"/>
      <c r="S344" s="810"/>
      <c r="T344" s="810"/>
      <c r="U344" s="810"/>
      <c r="V344" s="810"/>
      <c r="W344" s="779"/>
    </row>
    <row r="345" spans="1:23" s="775" customFormat="1" ht="8.1" customHeight="1" x14ac:dyDescent="0.25">
      <c r="A345" s="1408" t="s">
        <v>1549</v>
      </c>
      <c r="B345" s="1473"/>
      <c r="C345" s="1483" t="s">
        <v>1541</v>
      </c>
      <c r="D345" s="1425"/>
      <c r="E345" s="1425"/>
      <c r="F345" s="1425"/>
      <c r="G345" s="1484"/>
      <c r="H345" s="799" t="s">
        <v>2</v>
      </c>
      <c r="I345" s="1093"/>
      <c r="J345" s="810"/>
      <c r="K345" s="810"/>
      <c r="L345" s="810"/>
      <c r="M345" s="810"/>
      <c r="N345" s="810"/>
      <c r="O345" s="810"/>
      <c r="P345" s="810"/>
      <c r="Q345" s="810"/>
      <c r="R345" s="810"/>
      <c r="S345" s="810"/>
      <c r="T345" s="810"/>
      <c r="U345" s="810"/>
      <c r="V345" s="810"/>
      <c r="W345" s="779"/>
    </row>
    <row r="346" spans="1:23" s="775" customFormat="1" ht="8.25" customHeight="1" x14ac:dyDescent="0.25">
      <c r="A346" s="1408" t="s">
        <v>1550</v>
      </c>
      <c r="B346" s="1473"/>
      <c r="C346" s="1476" t="s">
        <v>1551</v>
      </c>
      <c r="D346" s="1411"/>
      <c r="E346" s="1411"/>
      <c r="F346" s="1411"/>
      <c r="G346" s="1477"/>
      <c r="H346" s="799" t="s">
        <v>1552</v>
      </c>
      <c r="I346" s="835">
        <v>35132</v>
      </c>
      <c r="J346" s="835">
        <v>35269.54</v>
      </c>
      <c r="K346" s="835">
        <v>35269.54</v>
      </c>
      <c r="L346" s="836">
        <v>35269.54</v>
      </c>
      <c r="M346" s="837"/>
      <c r="N346" s="837">
        <v>35980</v>
      </c>
      <c r="O346" s="837"/>
      <c r="P346" s="837"/>
      <c r="Q346" s="837"/>
      <c r="R346" s="837"/>
      <c r="S346" s="837"/>
      <c r="T346" s="837"/>
      <c r="U346" s="837"/>
      <c r="V346" s="837"/>
      <c r="W346" s="838"/>
    </row>
    <row r="347" spans="1:23" s="775" customFormat="1" ht="16.5" customHeight="1" x14ac:dyDescent="0.25">
      <c r="A347" s="1408" t="s">
        <v>1553</v>
      </c>
      <c r="B347" s="1473"/>
      <c r="C347" s="1476" t="s">
        <v>1554</v>
      </c>
      <c r="D347" s="1411"/>
      <c r="E347" s="1411"/>
      <c r="F347" s="1411"/>
      <c r="G347" s="1477"/>
      <c r="H347" s="799" t="s">
        <v>970</v>
      </c>
      <c r="I347" s="1093"/>
      <c r="J347" s="810"/>
      <c r="K347" s="810"/>
      <c r="L347" s="810"/>
      <c r="M347" s="810"/>
      <c r="N347" s="810"/>
      <c r="O347" s="810"/>
      <c r="P347" s="810"/>
      <c r="Q347" s="810"/>
      <c r="R347" s="810"/>
      <c r="S347" s="810"/>
      <c r="T347" s="810"/>
      <c r="U347" s="810"/>
      <c r="V347" s="810"/>
      <c r="W347" s="1094"/>
    </row>
    <row r="348" spans="1:23" s="775" customFormat="1" ht="9" customHeight="1" x14ac:dyDescent="0.25">
      <c r="A348" s="1478" t="s">
        <v>1555</v>
      </c>
      <c r="B348" s="1479"/>
      <c r="C348" s="1480" t="s">
        <v>1556</v>
      </c>
      <c r="D348" s="1481"/>
      <c r="E348" s="1481"/>
      <c r="F348" s="1481"/>
      <c r="G348" s="1482"/>
      <c r="H348" s="799" t="s">
        <v>830</v>
      </c>
      <c r="I348" s="1093" t="s">
        <v>1497</v>
      </c>
      <c r="J348" s="810" t="s">
        <v>1497</v>
      </c>
      <c r="K348" s="810" t="s">
        <v>1497</v>
      </c>
      <c r="L348" s="810" t="s">
        <v>1497</v>
      </c>
      <c r="M348" s="810" t="s">
        <v>1497</v>
      </c>
      <c r="N348" s="810" t="s">
        <v>1497</v>
      </c>
      <c r="O348" s="810" t="s">
        <v>1497</v>
      </c>
      <c r="P348" s="810" t="s">
        <v>1497</v>
      </c>
      <c r="Q348" s="810" t="s">
        <v>1497</v>
      </c>
      <c r="R348" s="810" t="s">
        <v>1497</v>
      </c>
      <c r="S348" s="810" t="s">
        <v>1497</v>
      </c>
      <c r="T348" s="810" t="s">
        <v>1497</v>
      </c>
      <c r="U348" s="810" t="s">
        <v>1497</v>
      </c>
      <c r="V348" s="810" t="s">
        <v>1497</v>
      </c>
      <c r="W348" s="779" t="s">
        <v>1497</v>
      </c>
    </row>
    <row r="349" spans="1:23" s="775" customFormat="1" ht="8.1" customHeight="1" x14ac:dyDescent="0.25">
      <c r="A349" s="1408" t="s">
        <v>1557</v>
      </c>
      <c r="B349" s="1473"/>
      <c r="C349" s="1476" t="s">
        <v>1558</v>
      </c>
      <c r="D349" s="1411"/>
      <c r="E349" s="1411"/>
      <c r="F349" s="1411"/>
      <c r="G349" s="1477"/>
      <c r="H349" s="799" t="s">
        <v>1509</v>
      </c>
      <c r="I349" s="1093"/>
      <c r="J349" s="810"/>
      <c r="K349" s="810"/>
      <c r="L349" s="810"/>
      <c r="M349" s="810"/>
      <c r="N349" s="810"/>
      <c r="O349" s="810"/>
      <c r="P349" s="810"/>
      <c r="Q349" s="810"/>
      <c r="R349" s="810"/>
      <c r="S349" s="810"/>
      <c r="T349" s="810"/>
      <c r="U349" s="810"/>
      <c r="V349" s="810"/>
      <c r="W349" s="779"/>
    </row>
    <row r="350" spans="1:23" s="775" customFormat="1" ht="8.25" customHeight="1" x14ac:dyDescent="0.25">
      <c r="A350" s="1408" t="s">
        <v>1559</v>
      </c>
      <c r="B350" s="1473"/>
      <c r="C350" s="1476" t="s">
        <v>1560</v>
      </c>
      <c r="D350" s="1411"/>
      <c r="E350" s="1411"/>
      <c r="F350" s="1411"/>
      <c r="G350" s="1477"/>
      <c r="H350" s="799" t="s">
        <v>1502</v>
      </c>
      <c r="I350" s="1093"/>
      <c r="J350" s="810"/>
      <c r="K350" s="810"/>
      <c r="L350" s="810"/>
      <c r="M350" s="810"/>
      <c r="N350" s="810"/>
      <c r="O350" s="810"/>
      <c r="P350" s="810"/>
      <c r="Q350" s="810"/>
      <c r="R350" s="810"/>
      <c r="S350" s="810"/>
      <c r="T350" s="810"/>
      <c r="U350" s="810"/>
      <c r="V350" s="810"/>
      <c r="W350" s="779"/>
    </row>
    <row r="351" spans="1:23" s="775" customFormat="1" ht="24.75" customHeight="1" x14ac:dyDescent="0.25">
      <c r="A351" s="1408" t="s">
        <v>1561</v>
      </c>
      <c r="B351" s="1473"/>
      <c r="C351" s="1476" t="s">
        <v>1562</v>
      </c>
      <c r="D351" s="1411"/>
      <c r="E351" s="1411"/>
      <c r="F351" s="1411"/>
      <c r="G351" s="1477"/>
      <c r="H351" s="799" t="s">
        <v>970</v>
      </c>
      <c r="I351" s="1093">
        <f>I35-I55</f>
        <v>3216.9549999999999</v>
      </c>
      <c r="J351" s="810">
        <f t="shared" ref="J351:Q351" si="105">J35-J55</f>
        <v>3102.3809999999999</v>
      </c>
      <c r="K351" s="810">
        <f t="shared" si="105"/>
        <v>3111.1869999999999</v>
      </c>
      <c r="L351" s="810">
        <f t="shared" si="105"/>
        <v>817.69899999999996</v>
      </c>
      <c r="M351" s="810">
        <f t="shared" si="105"/>
        <v>817.69899999999996</v>
      </c>
      <c r="N351" s="810">
        <f t="shared" si="105"/>
        <v>804.87400000000002</v>
      </c>
      <c r="O351" s="810">
        <f t="shared" si="105"/>
        <v>813.44899999999996</v>
      </c>
      <c r="P351" s="810">
        <f t="shared" si="105"/>
        <v>819.31600000000003</v>
      </c>
      <c r="Q351" s="810">
        <f t="shared" si="105"/>
        <v>824.81399999999996</v>
      </c>
      <c r="R351" s="810">
        <f>R35-R55</f>
        <v>834.15</v>
      </c>
      <c r="S351" s="810">
        <f>S35-S55</f>
        <v>834.15</v>
      </c>
      <c r="T351" s="810">
        <f>T35-T55</f>
        <v>849.31500000000005</v>
      </c>
      <c r="U351" s="810">
        <f>U35-U55</f>
        <v>849.31500000000005</v>
      </c>
      <c r="V351" s="810">
        <f>V35-V55</f>
        <v>4125.3540000000003</v>
      </c>
      <c r="W351" s="1094">
        <f>W26-W55</f>
        <v>4390.741</v>
      </c>
    </row>
    <row r="352" spans="1:23" s="775" customFormat="1" ht="16.5" customHeight="1" x14ac:dyDescent="0.25">
      <c r="A352" s="1408" t="s">
        <v>1563</v>
      </c>
      <c r="B352" s="1473"/>
      <c r="C352" s="1476" t="s">
        <v>1564</v>
      </c>
      <c r="D352" s="1411"/>
      <c r="E352" s="1411"/>
      <c r="F352" s="1411"/>
      <c r="G352" s="1477"/>
      <c r="H352" s="799" t="s">
        <v>970</v>
      </c>
      <c r="I352" s="815"/>
      <c r="J352" s="810"/>
      <c r="K352" s="810"/>
      <c r="L352" s="810"/>
      <c r="M352" s="810"/>
      <c r="N352" s="810"/>
      <c r="O352" s="810"/>
      <c r="P352" s="810"/>
      <c r="Q352" s="810"/>
      <c r="R352" s="810"/>
      <c r="S352" s="810"/>
      <c r="T352" s="810"/>
      <c r="U352" s="810"/>
      <c r="V352" s="810"/>
      <c r="W352" s="799"/>
    </row>
    <row r="353" spans="1:23" s="775" customFormat="1" ht="9" customHeight="1" x14ac:dyDescent="0.25">
      <c r="A353" s="1478" t="s">
        <v>1565</v>
      </c>
      <c r="B353" s="1479"/>
      <c r="C353" s="1480" t="s">
        <v>1566</v>
      </c>
      <c r="D353" s="1481"/>
      <c r="E353" s="1481"/>
      <c r="F353" s="1481"/>
      <c r="G353" s="1482"/>
      <c r="H353" s="799" t="s">
        <v>830</v>
      </c>
      <c r="I353" s="815" t="s">
        <v>1497</v>
      </c>
      <c r="J353" s="810" t="s">
        <v>1497</v>
      </c>
      <c r="K353" s="810" t="s">
        <v>1497</v>
      </c>
      <c r="L353" s="810" t="s">
        <v>1497</v>
      </c>
      <c r="M353" s="810" t="s">
        <v>1497</v>
      </c>
      <c r="N353" s="810" t="s">
        <v>1497</v>
      </c>
      <c r="O353" s="810" t="s">
        <v>1497</v>
      </c>
      <c r="P353" s="810" t="s">
        <v>1497</v>
      </c>
      <c r="Q353" s="810" t="s">
        <v>1497</v>
      </c>
      <c r="R353" s="810" t="s">
        <v>1497</v>
      </c>
      <c r="S353" s="810" t="s">
        <v>1497</v>
      </c>
      <c r="T353" s="810" t="s">
        <v>1497</v>
      </c>
      <c r="U353" s="810" t="s">
        <v>1497</v>
      </c>
      <c r="V353" s="810" t="s">
        <v>1497</v>
      </c>
      <c r="W353" s="799" t="s">
        <v>1497</v>
      </c>
    </row>
    <row r="354" spans="1:23" s="775" customFormat="1" ht="8.25" customHeight="1" x14ac:dyDescent="0.25">
      <c r="A354" s="1408" t="s">
        <v>1567</v>
      </c>
      <c r="B354" s="1473"/>
      <c r="C354" s="1476" t="s">
        <v>1568</v>
      </c>
      <c r="D354" s="1411"/>
      <c r="E354" s="1411"/>
      <c r="F354" s="1411"/>
      <c r="G354" s="1477"/>
      <c r="H354" s="799" t="s">
        <v>2</v>
      </c>
      <c r="I354" s="815"/>
      <c r="J354" s="810"/>
      <c r="K354" s="810"/>
      <c r="L354" s="810"/>
      <c r="M354" s="810"/>
      <c r="N354" s="810"/>
      <c r="O354" s="810"/>
      <c r="P354" s="810"/>
      <c r="Q354" s="810"/>
      <c r="R354" s="810"/>
      <c r="S354" s="810"/>
      <c r="T354" s="810"/>
      <c r="U354" s="810"/>
      <c r="V354" s="810"/>
      <c r="W354" s="799"/>
    </row>
    <row r="355" spans="1:23" s="775" customFormat="1" ht="24.75" customHeight="1" x14ac:dyDescent="0.25">
      <c r="A355" s="1408" t="s">
        <v>1569</v>
      </c>
      <c r="B355" s="1473"/>
      <c r="C355" s="1474" t="s">
        <v>1570</v>
      </c>
      <c r="D355" s="1421"/>
      <c r="E355" s="1421"/>
      <c r="F355" s="1421"/>
      <c r="G355" s="1475"/>
      <c r="H355" s="799" t="s">
        <v>2</v>
      </c>
      <c r="I355" s="815"/>
      <c r="J355" s="810"/>
      <c r="K355" s="810"/>
      <c r="L355" s="810"/>
      <c r="M355" s="810"/>
      <c r="N355" s="810"/>
      <c r="O355" s="810"/>
      <c r="P355" s="810"/>
      <c r="Q355" s="810"/>
      <c r="R355" s="810"/>
      <c r="S355" s="810"/>
      <c r="T355" s="810"/>
      <c r="U355" s="810"/>
      <c r="V355" s="810"/>
      <c r="W355" s="799"/>
    </row>
    <row r="356" spans="1:23" s="775" customFormat="1" ht="24.75" customHeight="1" x14ac:dyDescent="0.25">
      <c r="A356" s="1408" t="s">
        <v>1571</v>
      </c>
      <c r="B356" s="1473"/>
      <c r="C356" s="1474" t="s">
        <v>1572</v>
      </c>
      <c r="D356" s="1421"/>
      <c r="E356" s="1421"/>
      <c r="F356" s="1421"/>
      <c r="G356" s="1475"/>
      <c r="H356" s="799" t="s">
        <v>2</v>
      </c>
      <c r="I356" s="815"/>
      <c r="J356" s="810"/>
      <c r="K356" s="810"/>
      <c r="L356" s="810"/>
      <c r="M356" s="810"/>
      <c r="N356" s="810"/>
      <c r="O356" s="810"/>
      <c r="P356" s="810"/>
      <c r="Q356" s="810"/>
      <c r="R356" s="810"/>
      <c r="S356" s="810"/>
      <c r="T356" s="810"/>
      <c r="U356" s="810"/>
      <c r="V356" s="810"/>
      <c r="W356" s="799"/>
    </row>
    <row r="357" spans="1:23" s="775" customFormat="1" ht="16.5" customHeight="1" x14ac:dyDescent="0.25">
      <c r="A357" s="1408" t="s">
        <v>1573</v>
      </c>
      <c r="B357" s="1473"/>
      <c r="C357" s="1474" t="s">
        <v>1574</v>
      </c>
      <c r="D357" s="1421"/>
      <c r="E357" s="1421"/>
      <c r="F357" s="1421"/>
      <c r="G357" s="1475"/>
      <c r="H357" s="799" t="s">
        <v>2</v>
      </c>
      <c r="I357" s="815"/>
      <c r="J357" s="810"/>
      <c r="K357" s="810"/>
      <c r="L357" s="810"/>
      <c r="M357" s="810"/>
      <c r="N357" s="810"/>
      <c r="O357" s="810"/>
      <c r="P357" s="810"/>
      <c r="Q357" s="810"/>
      <c r="R357" s="810"/>
      <c r="S357" s="810"/>
      <c r="T357" s="810"/>
      <c r="U357" s="810"/>
      <c r="V357" s="810"/>
      <c r="W357" s="799"/>
    </row>
    <row r="358" spans="1:23" s="775" customFormat="1" ht="8.25" customHeight="1" x14ac:dyDescent="0.25">
      <c r="A358" s="1408" t="s">
        <v>1575</v>
      </c>
      <c r="B358" s="1473"/>
      <c r="C358" s="1476" t="s">
        <v>1576</v>
      </c>
      <c r="D358" s="1411"/>
      <c r="E358" s="1411"/>
      <c r="F358" s="1411"/>
      <c r="G358" s="1477"/>
      <c r="H358" s="799" t="s">
        <v>1509</v>
      </c>
      <c r="I358" s="815"/>
      <c r="J358" s="810"/>
      <c r="K358" s="810"/>
      <c r="L358" s="810"/>
      <c r="M358" s="810"/>
      <c r="N358" s="810"/>
      <c r="O358" s="810"/>
      <c r="P358" s="810"/>
      <c r="Q358" s="810"/>
      <c r="R358" s="810"/>
      <c r="S358" s="810"/>
      <c r="T358" s="810"/>
      <c r="U358" s="810"/>
      <c r="V358" s="810"/>
      <c r="W358" s="799"/>
    </row>
    <row r="359" spans="1:23" s="775" customFormat="1" ht="16.5" customHeight="1" x14ac:dyDescent="0.25">
      <c r="A359" s="1408" t="s">
        <v>1577</v>
      </c>
      <c r="B359" s="1473"/>
      <c r="C359" s="1474" t="s">
        <v>1578</v>
      </c>
      <c r="D359" s="1421"/>
      <c r="E359" s="1421"/>
      <c r="F359" s="1421"/>
      <c r="G359" s="1475"/>
      <c r="H359" s="799" t="s">
        <v>1509</v>
      </c>
      <c r="I359" s="815"/>
      <c r="J359" s="810"/>
      <c r="K359" s="810"/>
      <c r="L359" s="810"/>
      <c r="M359" s="810"/>
      <c r="N359" s="810"/>
      <c r="O359" s="810"/>
      <c r="P359" s="810"/>
      <c r="Q359" s="810"/>
      <c r="R359" s="810"/>
      <c r="S359" s="810"/>
      <c r="T359" s="810"/>
      <c r="U359" s="810"/>
      <c r="V359" s="810"/>
      <c r="W359" s="799"/>
    </row>
    <row r="360" spans="1:23" s="775" customFormat="1" ht="8.1" customHeight="1" x14ac:dyDescent="0.25">
      <c r="A360" s="1408" t="s">
        <v>1579</v>
      </c>
      <c r="B360" s="1473"/>
      <c r="C360" s="1474" t="s">
        <v>1580</v>
      </c>
      <c r="D360" s="1421"/>
      <c r="E360" s="1421"/>
      <c r="F360" s="1421"/>
      <c r="G360" s="1475"/>
      <c r="H360" s="799" t="s">
        <v>1509</v>
      </c>
      <c r="I360" s="815"/>
      <c r="J360" s="810"/>
      <c r="K360" s="810"/>
      <c r="L360" s="810"/>
      <c r="M360" s="810"/>
      <c r="N360" s="810"/>
      <c r="O360" s="810"/>
      <c r="P360" s="810"/>
      <c r="Q360" s="810"/>
      <c r="R360" s="810"/>
      <c r="S360" s="810"/>
      <c r="T360" s="810"/>
      <c r="U360" s="810"/>
      <c r="V360" s="810"/>
      <c r="W360" s="799"/>
    </row>
    <row r="361" spans="1:23" s="775" customFormat="1" ht="16.5" customHeight="1" x14ac:dyDescent="0.25">
      <c r="A361" s="1408" t="s">
        <v>1581</v>
      </c>
      <c r="B361" s="1473"/>
      <c r="C361" s="1476" t="s">
        <v>1582</v>
      </c>
      <c r="D361" s="1411"/>
      <c r="E361" s="1411"/>
      <c r="F361" s="1411"/>
      <c r="G361" s="1477"/>
      <c r="H361" s="799" t="s">
        <v>970</v>
      </c>
      <c r="I361" s="815"/>
      <c r="J361" s="810"/>
      <c r="K361" s="810"/>
      <c r="L361" s="810"/>
      <c r="M361" s="810"/>
      <c r="N361" s="810"/>
      <c r="O361" s="810"/>
      <c r="P361" s="810"/>
      <c r="Q361" s="810"/>
      <c r="R361" s="810"/>
      <c r="S361" s="810"/>
      <c r="T361" s="810"/>
      <c r="U361" s="810"/>
      <c r="V361" s="810"/>
      <c r="W361" s="799"/>
    </row>
    <row r="362" spans="1:23" s="775" customFormat="1" ht="8.1" customHeight="1" x14ac:dyDescent="0.25">
      <c r="A362" s="1408" t="s">
        <v>1583</v>
      </c>
      <c r="B362" s="1473"/>
      <c r="C362" s="1474" t="s">
        <v>1112</v>
      </c>
      <c r="D362" s="1421"/>
      <c r="E362" s="1421"/>
      <c r="F362" s="1421"/>
      <c r="G362" s="1475"/>
      <c r="H362" s="799" t="s">
        <v>970</v>
      </c>
      <c r="I362" s="815"/>
      <c r="J362" s="810"/>
      <c r="K362" s="810"/>
      <c r="L362" s="810"/>
      <c r="M362" s="810"/>
      <c r="N362" s="810"/>
      <c r="O362" s="810"/>
      <c r="P362" s="810"/>
      <c r="Q362" s="810"/>
      <c r="R362" s="810"/>
      <c r="S362" s="810"/>
      <c r="T362" s="810"/>
      <c r="U362" s="810"/>
      <c r="V362" s="810"/>
      <c r="W362" s="799"/>
    </row>
    <row r="363" spans="1:23" s="775" customFormat="1" ht="8.1" customHeight="1" x14ac:dyDescent="0.25">
      <c r="A363" s="1408" t="s">
        <v>1584</v>
      </c>
      <c r="B363" s="1473"/>
      <c r="C363" s="1474" t="s">
        <v>988</v>
      </c>
      <c r="D363" s="1421"/>
      <c r="E363" s="1421"/>
      <c r="F363" s="1421"/>
      <c r="G363" s="1475"/>
      <c r="H363" s="799" t="s">
        <v>970</v>
      </c>
      <c r="I363" s="815"/>
      <c r="J363" s="810"/>
      <c r="K363" s="810"/>
      <c r="L363" s="810"/>
      <c r="M363" s="810"/>
      <c r="N363" s="810"/>
      <c r="O363" s="810"/>
      <c r="P363" s="810"/>
      <c r="Q363" s="810"/>
      <c r="R363" s="810"/>
      <c r="S363" s="810"/>
      <c r="T363" s="810"/>
      <c r="U363" s="810"/>
      <c r="V363" s="810"/>
      <c r="W363" s="799"/>
    </row>
    <row r="364" spans="1:23" s="775" customFormat="1" ht="9" customHeight="1" thickBot="1" x14ac:dyDescent="0.3">
      <c r="A364" s="1511" t="s">
        <v>1585</v>
      </c>
      <c r="B364" s="1512"/>
      <c r="C364" s="1513" t="s">
        <v>1586</v>
      </c>
      <c r="D364" s="1514"/>
      <c r="E364" s="1514"/>
      <c r="F364" s="1514"/>
      <c r="G364" s="1515"/>
      <c r="H364" s="839" t="s">
        <v>1587</v>
      </c>
      <c r="I364" s="840">
        <v>371</v>
      </c>
      <c r="J364" s="841">
        <v>371</v>
      </c>
      <c r="K364" s="841">
        <v>371</v>
      </c>
      <c r="L364" s="841">
        <v>605</v>
      </c>
      <c r="M364" s="841">
        <v>586</v>
      </c>
      <c r="N364" s="841">
        <v>605</v>
      </c>
      <c r="O364" s="841">
        <v>605</v>
      </c>
      <c r="P364" s="841">
        <v>605</v>
      </c>
      <c r="Q364" s="841">
        <v>605</v>
      </c>
      <c r="R364" s="841">
        <v>605</v>
      </c>
      <c r="S364" s="841">
        <v>605</v>
      </c>
      <c r="T364" s="841">
        <v>605</v>
      </c>
      <c r="U364" s="841">
        <v>605</v>
      </c>
      <c r="V364" s="841"/>
      <c r="W364" s="839"/>
    </row>
    <row r="365" spans="1:23" s="775" customFormat="1" ht="13.5" customHeight="1" thickBot="1" x14ac:dyDescent="0.3">
      <c r="A365" s="1516" t="s">
        <v>1588</v>
      </c>
      <c r="B365" s="1517"/>
      <c r="C365" s="1517"/>
      <c r="D365" s="1517"/>
      <c r="E365" s="1517"/>
      <c r="F365" s="1517"/>
      <c r="G365" s="1517"/>
      <c r="H365" s="1517"/>
      <c r="I365" s="1517"/>
      <c r="J365" s="1517"/>
      <c r="K365" s="1517"/>
      <c r="L365" s="1517"/>
      <c r="M365" s="1517"/>
      <c r="N365" s="1517"/>
      <c r="O365" s="1517"/>
      <c r="P365" s="1517"/>
      <c r="Q365" s="1517"/>
      <c r="R365" s="1517"/>
      <c r="S365" s="1517"/>
      <c r="T365" s="1517"/>
      <c r="U365" s="1517"/>
      <c r="V365" s="1517"/>
      <c r="W365" s="1518"/>
    </row>
    <row r="366" spans="1:23" s="635" customFormat="1" ht="18" customHeight="1" x14ac:dyDescent="0.15">
      <c r="A366" s="1519" t="s">
        <v>510</v>
      </c>
      <c r="B366" s="1520"/>
      <c r="C366" s="1523" t="s">
        <v>961</v>
      </c>
      <c r="D366" s="1524"/>
      <c r="E366" s="1524"/>
      <c r="F366" s="1524"/>
      <c r="G366" s="1520"/>
      <c r="H366" s="1527" t="s">
        <v>962</v>
      </c>
      <c r="I366" s="842" t="s">
        <v>1589</v>
      </c>
      <c r="J366" s="843" t="s">
        <v>1590</v>
      </c>
      <c r="K366" s="1101" t="s">
        <v>1591</v>
      </c>
      <c r="L366" s="1529" t="s">
        <v>1088</v>
      </c>
      <c r="M366" s="1502"/>
      <c r="N366" s="1501" t="s">
        <v>1089</v>
      </c>
      <c r="O366" s="1502"/>
      <c r="P366" s="1501" t="s">
        <v>1090</v>
      </c>
      <c r="Q366" s="1502"/>
      <c r="R366" s="1501" t="s">
        <v>1091</v>
      </c>
      <c r="S366" s="1502"/>
      <c r="T366" s="1501" t="s">
        <v>1092</v>
      </c>
      <c r="U366" s="1502"/>
      <c r="V366" s="1501" t="s">
        <v>3</v>
      </c>
      <c r="W366" s="1503"/>
    </row>
    <row r="367" spans="1:23" s="635" customFormat="1" ht="32.25" customHeight="1" x14ac:dyDescent="0.15">
      <c r="A367" s="1521"/>
      <c r="B367" s="1522"/>
      <c r="C367" s="1525"/>
      <c r="D367" s="1526"/>
      <c r="E367" s="1526"/>
      <c r="F367" s="1526"/>
      <c r="G367" s="1522"/>
      <c r="H367" s="1528"/>
      <c r="I367" s="844" t="s">
        <v>1093</v>
      </c>
      <c r="J367" s="845" t="s">
        <v>1093</v>
      </c>
      <c r="K367" s="846" t="s">
        <v>1592</v>
      </c>
      <c r="L367" s="844" t="s">
        <v>167</v>
      </c>
      <c r="M367" s="845" t="s">
        <v>415</v>
      </c>
      <c r="N367" s="845" t="s">
        <v>167</v>
      </c>
      <c r="O367" s="845" t="s">
        <v>168</v>
      </c>
      <c r="P367" s="845" t="s">
        <v>167</v>
      </c>
      <c r="Q367" s="845" t="s">
        <v>168</v>
      </c>
      <c r="R367" s="845" t="s">
        <v>167</v>
      </c>
      <c r="S367" s="845" t="s">
        <v>168</v>
      </c>
      <c r="T367" s="845" t="s">
        <v>167</v>
      </c>
      <c r="U367" s="845" t="s">
        <v>168</v>
      </c>
      <c r="V367" s="845" t="s">
        <v>167</v>
      </c>
      <c r="W367" s="847" t="s">
        <v>168</v>
      </c>
    </row>
    <row r="368" spans="1:23" s="636" customFormat="1" ht="9" thickBot="1" x14ac:dyDescent="0.3">
      <c r="A368" s="1504">
        <v>1</v>
      </c>
      <c r="B368" s="1505"/>
      <c r="C368" s="1506">
        <v>2</v>
      </c>
      <c r="D368" s="1507"/>
      <c r="E368" s="1507"/>
      <c r="F368" s="1507"/>
      <c r="G368" s="1505"/>
      <c r="H368" s="848">
        <v>3</v>
      </c>
      <c r="I368" s="849">
        <v>4</v>
      </c>
      <c r="J368" s="850">
        <v>5</v>
      </c>
      <c r="K368" s="1095">
        <v>6</v>
      </c>
      <c r="L368" s="849">
        <v>7</v>
      </c>
      <c r="M368" s="850">
        <v>8</v>
      </c>
      <c r="N368" s="850">
        <v>9</v>
      </c>
      <c r="O368" s="850">
        <v>10</v>
      </c>
      <c r="P368" s="850">
        <v>11</v>
      </c>
      <c r="Q368" s="850">
        <v>12</v>
      </c>
      <c r="R368" s="850">
        <v>11</v>
      </c>
      <c r="S368" s="850">
        <v>12</v>
      </c>
      <c r="T368" s="850">
        <v>11</v>
      </c>
      <c r="U368" s="850">
        <v>12</v>
      </c>
      <c r="V368" s="850">
        <v>13</v>
      </c>
      <c r="W368" s="848">
        <v>14</v>
      </c>
    </row>
    <row r="369" spans="1:23" s="775" customFormat="1" ht="17.25" customHeight="1" x14ac:dyDescent="0.25">
      <c r="A369" s="1508" t="s">
        <v>1593</v>
      </c>
      <c r="B369" s="1509"/>
      <c r="C369" s="1509"/>
      <c r="D369" s="1509"/>
      <c r="E369" s="1509"/>
      <c r="F369" s="1509"/>
      <c r="G369" s="1510"/>
      <c r="H369" s="851" t="s">
        <v>970</v>
      </c>
      <c r="I369" s="852">
        <f>I370+I427</f>
        <v>66.652000000000001</v>
      </c>
      <c r="J369" s="852">
        <f t="shared" ref="J369:W369" si="106">J370+J427</f>
        <v>67.918000000000006</v>
      </c>
      <c r="K369" s="853">
        <f t="shared" si="106"/>
        <v>75.376000000000005</v>
      </c>
      <c r="L369" s="853">
        <f t="shared" si="106"/>
        <v>59.88</v>
      </c>
      <c r="M369" s="854">
        <f t="shared" si="106"/>
        <v>60.49</v>
      </c>
      <c r="N369" s="854">
        <f t="shared" si="106"/>
        <v>58.9</v>
      </c>
      <c r="O369" s="854">
        <f t="shared" si="106"/>
        <v>102.25</v>
      </c>
      <c r="P369" s="854">
        <f t="shared" si="106"/>
        <v>55.93</v>
      </c>
      <c r="Q369" s="854">
        <f t="shared" si="106"/>
        <v>86.43</v>
      </c>
      <c r="R369" s="854">
        <f>R370+R427</f>
        <v>54.68</v>
      </c>
      <c r="S369" s="854">
        <f>S370+S427</f>
        <v>88.21</v>
      </c>
      <c r="T369" s="854">
        <f>T370+T427</f>
        <v>63.38</v>
      </c>
      <c r="U369" s="854">
        <f>U370+U427</f>
        <v>96.56</v>
      </c>
      <c r="V369" s="854">
        <f t="shared" si="106"/>
        <v>292.77</v>
      </c>
      <c r="W369" s="855">
        <f t="shared" si="106"/>
        <v>433.94</v>
      </c>
    </row>
    <row r="370" spans="1:23" s="775" customFormat="1" ht="9" customHeight="1" x14ac:dyDescent="0.25">
      <c r="A370" s="1478" t="s">
        <v>971</v>
      </c>
      <c r="B370" s="1479"/>
      <c r="C370" s="1480" t="s">
        <v>1594</v>
      </c>
      <c r="D370" s="1481"/>
      <c r="E370" s="1481"/>
      <c r="F370" s="1481"/>
      <c r="G370" s="1482"/>
      <c r="H370" s="799" t="s">
        <v>970</v>
      </c>
      <c r="I370" s="815">
        <f>I395</f>
        <v>66.652000000000001</v>
      </c>
      <c r="J370" s="815">
        <f>J395</f>
        <v>67.918000000000006</v>
      </c>
      <c r="K370" s="1093">
        <f>K395</f>
        <v>75.376000000000005</v>
      </c>
      <c r="L370" s="815">
        <f>L395+L378</f>
        <v>59.88</v>
      </c>
      <c r="M370" s="810">
        <f t="shared" ref="M370:U370" si="107">M395+M378</f>
        <v>60.49</v>
      </c>
      <c r="N370" s="810">
        <f t="shared" si="107"/>
        <v>58.9</v>
      </c>
      <c r="O370" s="810">
        <f t="shared" si="107"/>
        <v>102.25</v>
      </c>
      <c r="P370" s="810">
        <f t="shared" si="107"/>
        <v>55.93</v>
      </c>
      <c r="Q370" s="810">
        <f t="shared" si="107"/>
        <v>86.43</v>
      </c>
      <c r="R370" s="810">
        <f t="shared" si="107"/>
        <v>54.68</v>
      </c>
      <c r="S370" s="810">
        <f t="shared" si="107"/>
        <v>88.21</v>
      </c>
      <c r="T370" s="810">
        <f t="shared" si="107"/>
        <v>63.38</v>
      </c>
      <c r="U370" s="810">
        <f t="shared" si="107"/>
        <v>96.56</v>
      </c>
      <c r="V370" s="810">
        <f>L370+N370+P370+R370+T370</f>
        <v>292.77</v>
      </c>
      <c r="W370" s="799">
        <f>M370+O370+Q370+S370+U370</f>
        <v>433.94</v>
      </c>
    </row>
    <row r="371" spans="1:23" s="775" customFormat="1" ht="8.25" customHeight="1" x14ac:dyDescent="0.25">
      <c r="A371" s="1408" t="s">
        <v>538</v>
      </c>
      <c r="B371" s="1473"/>
      <c r="C371" s="1476" t="s">
        <v>973</v>
      </c>
      <c r="D371" s="1411"/>
      <c r="E371" s="1411"/>
      <c r="F371" s="1411"/>
      <c r="G371" s="1477"/>
      <c r="H371" s="799" t="s">
        <v>970</v>
      </c>
      <c r="I371" s="815"/>
      <c r="J371" s="810"/>
      <c r="K371" s="820"/>
      <c r="L371" s="1093">
        <f>L378</f>
        <v>0</v>
      </c>
      <c r="M371" s="810">
        <f>M378</f>
        <v>0</v>
      </c>
      <c r="N371" s="810">
        <f t="shared" ref="N371:U371" si="108">N378</f>
        <v>0</v>
      </c>
      <c r="O371" s="810">
        <f t="shared" si="108"/>
        <v>26.88</v>
      </c>
      <c r="P371" s="810">
        <f t="shared" si="108"/>
        <v>0</v>
      </c>
      <c r="Q371" s="810">
        <f t="shared" si="108"/>
        <v>10.66</v>
      </c>
      <c r="R371" s="810">
        <f t="shared" si="108"/>
        <v>0</v>
      </c>
      <c r="S371" s="810">
        <f t="shared" si="108"/>
        <v>12</v>
      </c>
      <c r="T371" s="810">
        <f t="shared" si="108"/>
        <v>0</v>
      </c>
      <c r="U371" s="810">
        <f t="shared" si="108"/>
        <v>18.63</v>
      </c>
      <c r="V371" s="810">
        <f>L371+N371+P371+R371+T371</f>
        <v>0</v>
      </c>
      <c r="W371" s="799">
        <f>M371+O371+Q371+S371+U371</f>
        <v>68.17</v>
      </c>
    </row>
    <row r="372" spans="1:23" s="775" customFormat="1" ht="16.5" customHeight="1" x14ac:dyDescent="0.25">
      <c r="A372" s="1408" t="s">
        <v>540</v>
      </c>
      <c r="B372" s="1473"/>
      <c r="C372" s="1474" t="s">
        <v>1595</v>
      </c>
      <c r="D372" s="1421"/>
      <c r="E372" s="1421"/>
      <c r="F372" s="1421"/>
      <c r="G372" s="1475"/>
      <c r="H372" s="799" t="s">
        <v>970</v>
      </c>
      <c r="I372" s="815"/>
      <c r="J372" s="810"/>
      <c r="K372" s="820"/>
      <c r="L372" s="1093"/>
      <c r="M372" s="810"/>
      <c r="N372" s="810"/>
      <c r="O372" s="810"/>
      <c r="P372" s="810"/>
      <c r="Q372" s="810"/>
      <c r="R372" s="810"/>
      <c r="S372" s="810"/>
      <c r="T372" s="810"/>
      <c r="U372" s="810"/>
      <c r="V372" s="810"/>
      <c r="W372" s="779"/>
    </row>
    <row r="373" spans="1:23" s="775" customFormat="1" ht="8.25" customHeight="1" x14ac:dyDescent="0.25">
      <c r="A373" s="1408" t="s">
        <v>568</v>
      </c>
      <c r="B373" s="1473"/>
      <c r="C373" s="1483" t="s">
        <v>1596</v>
      </c>
      <c r="D373" s="1425"/>
      <c r="E373" s="1425"/>
      <c r="F373" s="1425"/>
      <c r="G373" s="1484"/>
      <c r="H373" s="799" t="s">
        <v>970</v>
      </c>
      <c r="I373" s="815"/>
      <c r="J373" s="810"/>
      <c r="K373" s="820"/>
      <c r="L373" s="1093"/>
      <c r="M373" s="810"/>
      <c r="N373" s="810"/>
      <c r="O373" s="810"/>
      <c r="P373" s="810"/>
      <c r="Q373" s="810"/>
      <c r="R373" s="810"/>
      <c r="S373" s="810"/>
      <c r="T373" s="810"/>
      <c r="U373" s="810"/>
      <c r="V373" s="810"/>
      <c r="W373" s="779"/>
    </row>
    <row r="374" spans="1:23" s="775" customFormat="1" ht="16.5" customHeight="1" x14ac:dyDescent="0.25">
      <c r="A374" s="1408" t="s">
        <v>1597</v>
      </c>
      <c r="B374" s="1473"/>
      <c r="C374" s="1495" t="s">
        <v>1099</v>
      </c>
      <c r="D374" s="1427"/>
      <c r="E374" s="1427"/>
      <c r="F374" s="1427"/>
      <c r="G374" s="1496"/>
      <c r="H374" s="799" t="s">
        <v>970</v>
      </c>
      <c r="I374" s="815"/>
      <c r="J374" s="810"/>
      <c r="K374" s="820"/>
      <c r="L374" s="1093"/>
      <c r="M374" s="810"/>
      <c r="N374" s="810"/>
      <c r="O374" s="810"/>
      <c r="P374" s="810"/>
      <c r="Q374" s="810"/>
      <c r="R374" s="810"/>
      <c r="S374" s="810"/>
      <c r="T374" s="810"/>
      <c r="U374" s="810"/>
      <c r="V374" s="810"/>
      <c r="W374" s="779"/>
    </row>
    <row r="375" spans="1:23" s="775" customFormat="1" ht="16.5" customHeight="1" x14ac:dyDescent="0.25">
      <c r="A375" s="1408" t="s">
        <v>1598</v>
      </c>
      <c r="B375" s="1473"/>
      <c r="C375" s="1495" t="s">
        <v>1100</v>
      </c>
      <c r="D375" s="1427"/>
      <c r="E375" s="1427"/>
      <c r="F375" s="1427"/>
      <c r="G375" s="1496"/>
      <c r="H375" s="799" t="s">
        <v>970</v>
      </c>
      <c r="I375" s="815"/>
      <c r="J375" s="810"/>
      <c r="K375" s="820"/>
      <c r="L375" s="815"/>
      <c r="M375" s="810"/>
      <c r="N375" s="810"/>
      <c r="O375" s="810"/>
      <c r="P375" s="810"/>
      <c r="Q375" s="810"/>
      <c r="R375" s="810"/>
      <c r="S375" s="810"/>
      <c r="T375" s="810"/>
      <c r="U375" s="810"/>
      <c r="V375" s="810"/>
      <c r="W375" s="799"/>
    </row>
    <row r="376" spans="1:23" s="775" customFormat="1" ht="16.5" customHeight="1" x14ac:dyDescent="0.25">
      <c r="A376" s="1408" t="s">
        <v>1599</v>
      </c>
      <c r="B376" s="1473"/>
      <c r="C376" s="1495" t="s">
        <v>1101</v>
      </c>
      <c r="D376" s="1427"/>
      <c r="E376" s="1427"/>
      <c r="F376" s="1427"/>
      <c r="G376" s="1496"/>
      <c r="H376" s="799" t="s">
        <v>970</v>
      </c>
      <c r="I376" s="815"/>
      <c r="J376" s="810"/>
      <c r="K376" s="820"/>
      <c r="L376" s="815"/>
      <c r="M376" s="810"/>
      <c r="N376" s="810"/>
      <c r="O376" s="810"/>
      <c r="P376" s="810"/>
      <c r="Q376" s="810"/>
      <c r="R376" s="810"/>
      <c r="S376" s="810"/>
      <c r="T376" s="810"/>
      <c r="U376" s="810"/>
      <c r="V376" s="810"/>
      <c r="W376" s="799"/>
    </row>
    <row r="377" spans="1:23" s="775" customFormat="1" ht="8.25" customHeight="1" x14ac:dyDescent="0.25">
      <c r="A377" s="1408" t="s">
        <v>569</v>
      </c>
      <c r="B377" s="1473"/>
      <c r="C377" s="1483" t="s">
        <v>1600</v>
      </c>
      <c r="D377" s="1425"/>
      <c r="E377" s="1425"/>
      <c r="F377" s="1425"/>
      <c r="G377" s="1484"/>
      <c r="H377" s="799" t="s">
        <v>970</v>
      </c>
      <c r="I377" s="815"/>
      <c r="J377" s="810"/>
      <c r="K377" s="820"/>
      <c r="L377" s="815"/>
      <c r="M377" s="810"/>
      <c r="N377" s="810"/>
      <c r="O377" s="810"/>
      <c r="P377" s="810"/>
      <c r="Q377" s="810"/>
      <c r="R377" s="810"/>
      <c r="S377" s="810"/>
      <c r="T377" s="810"/>
      <c r="U377" s="810"/>
      <c r="V377" s="810"/>
      <c r="W377" s="799"/>
    </row>
    <row r="378" spans="1:23" s="775" customFormat="1" ht="8.25" customHeight="1" x14ac:dyDescent="0.25">
      <c r="A378" s="1408" t="s">
        <v>570</v>
      </c>
      <c r="B378" s="1473"/>
      <c r="C378" s="1483" t="s">
        <v>1601</v>
      </c>
      <c r="D378" s="1425"/>
      <c r="E378" s="1425"/>
      <c r="F378" s="1425"/>
      <c r="G378" s="1484"/>
      <c r="H378" s="799" t="s">
        <v>970</v>
      </c>
      <c r="I378" s="815"/>
      <c r="J378" s="810"/>
      <c r="K378" s="820"/>
      <c r="L378" s="815">
        <v>0</v>
      </c>
      <c r="M378" s="810">
        <v>0</v>
      </c>
      <c r="N378" s="810">
        <v>0</v>
      </c>
      <c r="O378" s="810">
        <v>26.88</v>
      </c>
      <c r="P378" s="810"/>
      <c r="Q378" s="810">
        <v>10.66</v>
      </c>
      <c r="R378" s="810"/>
      <c r="S378" s="810">
        <v>12</v>
      </c>
      <c r="T378" s="810"/>
      <c r="U378" s="810">
        <v>18.63</v>
      </c>
      <c r="V378" s="810">
        <f>L378+N378+P378+R378+T378</f>
        <v>0</v>
      </c>
      <c r="W378" s="799">
        <f>M378+O378+Q378+S378+U378-0.01</f>
        <v>68.16</v>
      </c>
    </row>
    <row r="379" spans="1:23" s="775" customFormat="1" ht="8.25" customHeight="1" x14ac:dyDescent="0.25">
      <c r="A379" s="1408" t="s">
        <v>571</v>
      </c>
      <c r="B379" s="1473"/>
      <c r="C379" s="1483" t="s">
        <v>1602</v>
      </c>
      <c r="D379" s="1425"/>
      <c r="E379" s="1425"/>
      <c r="F379" s="1425"/>
      <c r="G379" s="1484"/>
      <c r="H379" s="799" t="s">
        <v>970</v>
      </c>
      <c r="I379" s="815"/>
      <c r="J379" s="810"/>
      <c r="K379" s="820"/>
      <c r="L379" s="815"/>
      <c r="M379" s="810"/>
      <c r="N379" s="810"/>
      <c r="O379" s="810"/>
      <c r="P379" s="810"/>
      <c r="Q379" s="810"/>
      <c r="R379" s="810"/>
      <c r="S379" s="810"/>
      <c r="T379" s="810"/>
      <c r="U379" s="810"/>
      <c r="V379" s="810"/>
      <c r="W379" s="799"/>
    </row>
    <row r="380" spans="1:23" s="775" customFormat="1" ht="8.25" customHeight="1" x14ac:dyDescent="0.25">
      <c r="A380" s="1408" t="s">
        <v>979</v>
      </c>
      <c r="B380" s="1473"/>
      <c r="C380" s="1483" t="s">
        <v>990</v>
      </c>
      <c r="D380" s="1425"/>
      <c r="E380" s="1425"/>
      <c r="F380" s="1425"/>
      <c r="G380" s="1484"/>
      <c r="H380" s="799" t="s">
        <v>970</v>
      </c>
      <c r="I380" s="815"/>
      <c r="J380" s="810"/>
      <c r="K380" s="820"/>
      <c r="L380" s="815"/>
      <c r="M380" s="810"/>
      <c r="N380" s="810"/>
      <c r="O380" s="810"/>
      <c r="P380" s="810"/>
      <c r="Q380" s="810"/>
      <c r="R380" s="810"/>
      <c r="S380" s="810"/>
      <c r="T380" s="810"/>
      <c r="U380" s="810"/>
      <c r="V380" s="810"/>
      <c r="W380" s="799"/>
    </row>
    <row r="381" spans="1:23" s="775" customFormat="1" ht="16.5" customHeight="1" x14ac:dyDescent="0.25">
      <c r="A381" s="1408" t="s">
        <v>1603</v>
      </c>
      <c r="B381" s="1473"/>
      <c r="C381" s="1495" t="s">
        <v>1604</v>
      </c>
      <c r="D381" s="1427"/>
      <c r="E381" s="1427"/>
      <c r="F381" s="1427"/>
      <c r="G381" s="1496"/>
      <c r="H381" s="799" t="s">
        <v>970</v>
      </c>
      <c r="I381" s="815"/>
      <c r="J381" s="810"/>
      <c r="K381" s="820"/>
      <c r="L381" s="815"/>
      <c r="M381" s="810"/>
      <c r="N381" s="810"/>
      <c r="O381" s="810"/>
      <c r="P381" s="810"/>
      <c r="Q381" s="810"/>
      <c r="R381" s="810"/>
      <c r="S381" s="810"/>
      <c r="T381" s="810"/>
      <c r="U381" s="810"/>
      <c r="V381" s="810"/>
      <c r="W381" s="799"/>
    </row>
    <row r="382" spans="1:23" s="775" customFormat="1" ht="8.25" customHeight="1" x14ac:dyDescent="0.25">
      <c r="A382" s="1408" t="s">
        <v>1605</v>
      </c>
      <c r="B382" s="1473"/>
      <c r="C382" s="1530" t="s">
        <v>993</v>
      </c>
      <c r="D382" s="1531"/>
      <c r="E382" s="1531"/>
      <c r="F382" s="1531"/>
      <c r="G382" s="1532"/>
      <c r="H382" s="799" t="s">
        <v>970</v>
      </c>
      <c r="I382" s="815"/>
      <c r="J382" s="810"/>
      <c r="K382" s="820"/>
      <c r="L382" s="815"/>
      <c r="M382" s="810"/>
      <c r="N382" s="810"/>
      <c r="O382" s="810"/>
      <c r="P382" s="810"/>
      <c r="Q382" s="810"/>
      <c r="R382" s="810"/>
      <c r="S382" s="810"/>
      <c r="T382" s="810"/>
      <c r="U382" s="810"/>
      <c r="V382" s="810"/>
      <c r="W382" s="799"/>
    </row>
    <row r="383" spans="1:23" s="775" customFormat="1" ht="8.25" customHeight="1" x14ac:dyDescent="0.25">
      <c r="A383" s="1408" t="s">
        <v>1606</v>
      </c>
      <c r="B383" s="1473"/>
      <c r="C383" s="1495" t="s">
        <v>994</v>
      </c>
      <c r="D383" s="1427"/>
      <c r="E383" s="1427"/>
      <c r="F383" s="1427"/>
      <c r="G383" s="1496"/>
      <c r="H383" s="799" t="s">
        <v>970</v>
      </c>
      <c r="I383" s="815"/>
      <c r="J383" s="810"/>
      <c r="K383" s="820"/>
      <c r="L383" s="815"/>
      <c r="M383" s="810"/>
      <c r="N383" s="810"/>
      <c r="O383" s="810"/>
      <c r="P383" s="810"/>
      <c r="Q383" s="810"/>
      <c r="R383" s="810"/>
      <c r="S383" s="810"/>
      <c r="T383" s="810"/>
      <c r="U383" s="810"/>
      <c r="V383" s="810"/>
      <c r="W383" s="799"/>
    </row>
    <row r="384" spans="1:23" s="775" customFormat="1" ht="8.25" customHeight="1" x14ac:dyDescent="0.25">
      <c r="A384" s="1408" t="s">
        <v>1607</v>
      </c>
      <c r="B384" s="1473"/>
      <c r="C384" s="1530" t="s">
        <v>993</v>
      </c>
      <c r="D384" s="1531"/>
      <c r="E384" s="1531"/>
      <c r="F384" s="1531"/>
      <c r="G384" s="1532"/>
      <c r="H384" s="799" t="s">
        <v>970</v>
      </c>
      <c r="I384" s="815"/>
      <c r="J384" s="810"/>
      <c r="K384" s="820"/>
      <c r="L384" s="815"/>
      <c r="M384" s="810"/>
      <c r="N384" s="810"/>
      <c r="O384" s="810"/>
      <c r="P384" s="810"/>
      <c r="Q384" s="810"/>
      <c r="R384" s="810"/>
      <c r="S384" s="810"/>
      <c r="T384" s="810"/>
      <c r="U384" s="810"/>
      <c r="V384" s="810"/>
      <c r="W384" s="799"/>
    </row>
    <row r="385" spans="1:23" s="775" customFormat="1" ht="8.25" customHeight="1" x14ac:dyDescent="0.25">
      <c r="A385" s="1408" t="s">
        <v>981</v>
      </c>
      <c r="B385" s="1473"/>
      <c r="C385" s="1483" t="s">
        <v>1608</v>
      </c>
      <c r="D385" s="1425"/>
      <c r="E385" s="1425"/>
      <c r="F385" s="1425"/>
      <c r="G385" s="1484"/>
      <c r="H385" s="799" t="s">
        <v>970</v>
      </c>
      <c r="I385" s="815"/>
      <c r="J385" s="810"/>
      <c r="K385" s="820"/>
      <c r="L385" s="815"/>
      <c r="M385" s="810"/>
      <c r="N385" s="810"/>
      <c r="O385" s="810"/>
      <c r="P385" s="810"/>
      <c r="Q385" s="810"/>
      <c r="R385" s="810"/>
      <c r="S385" s="810"/>
      <c r="T385" s="810"/>
      <c r="U385" s="810"/>
      <c r="V385" s="810"/>
      <c r="W385" s="799"/>
    </row>
    <row r="386" spans="1:23" s="775" customFormat="1" ht="8.25" customHeight="1" x14ac:dyDescent="0.25">
      <c r="A386" s="1408" t="s">
        <v>983</v>
      </c>
      <c r="B386" s="1473"/>
      <c r="C386" s="1483" t="s">
        <v>1424</v>
      </c>
      <c r="D386" s="1425"/>
      <c r="E386" s="1425"/>
      <c r="F386" s="1425"/>
      <c r="G386" s="1484"/>
      <c r="H386" s="799" t="s">
        <v>970</v>
      </c>
      <c r="I386" s="815"/>
      <c r="J386" s="810"/>
      <c r="K386" s="820"/>
      <c r="L386" s="815"/>
      <c r="M386" s="810"/>
      <c r="N386" s="810"/>
      <c r="O386" s="810"/>
      <c r="P386" s="810"/>
      <c r="Q386" s="810"/>
      <c r="R386" s="810"/>
      <c r="S386" s="810"/>
      <c r="T386" s="810"/>
      <c r="U386" s="810"/>
      <c r="V386" s="810"/>
      <c r="W386" s="799"/>
    </row>
    <row r="387" spans="1:23" s="775" customFormat="1" ht="16.5" customHeight="1" x14ac:dyDescent="0.25">
      <c r="A387" s="1408" t="s">
        <v>1609</v>
      </c>
      <c r="B387" s="1473"/>
      <c r="C387" s="1483" t="s">
        <v>1610</v>
      </c>
      <c r="D387" s="1425"/>
      <c r="E387" s="1425"/>
      <c r="F387" s="1425"/>
      <c r="G387" s="1484"/>
      <c r="H387" s="799" t="s">
        <v>970</v>
      </c>
      <c r="I387" s="815"/>
      <c r="J387" s="810"/>
      <c r="K387" s="820"/>
      <c r="L387" s="815"/>
      <c r="M387" s="810"/>
      <c r="N387" s="810"/>
      <c r="O387" s="810"/>
      <c r="P387" s="810"/>
      <c r="Q387" s="810"/>
      <c r="R387" s="810"/>
      <c r="S387" s="810"/>
      <c r="T387" s="810"/>
      <c r="U387" s="810"/>
      <c r="V387" s="810"/>
      <c r="W387" s="799"/>
    </row>
    <row r="388" spans="1:23" s="775" customFormat="1" ht="8.25" customHeight="1" x14ac:dyDescent="0.25">
      <c r="A388" s="1408" t="s">
        <v>1611</v>
      </c>
      <c r="B388" s="1473"/>
      <c r="C388" s="1495" t="s">
        <v>1112</v>
      </c>
      <c r="D388" s="1427"/>
      <c r="E388" s="1427"/>
      <c r="F388" s="1427"/>
      <c r="G388" s="1496"/>
      <c r="H388" s="799" t="s">
        <v>970</v>
      </c>
      <c r="I388" s="815"/>
      <c r="J388" s="810"/>
      <c r="K388" s="820"/>
      <c r="L388" s="815"/>
      <c r="M388" s="810"/>
      <c r="N388" s="810"/>
      <c r="O388" s="810"/>
      <c r="P388" s="810"/>
      <c r="Q388" s="810"/>
      <c r="R388" s="810"/>
      <c r="S388" s="810"/>
      <c r="T388" s="810"/>
      <c r="U388" s="810"/>
      <c r="V388" s="810"/>
      <c r="W388" s="799"/>
    </row>
    <row r="389" spans="1:23" s="775" customFormat="1" ht="8.25" customHeight="1" x14ac:dyDescent="0.25">
      <c r="A389" s="1408" t="s">
        <v>1612</v>
      </c>
      <c r="B389" s="1473"/>
      <c r="C389" s="1495" t="s">
        <v>988</v>
      </c>
      <c r="D389" s="1427"/>
      <c r="E389" s="1427"/>
      <c r="F389" s="1427"/>
      <c r="G389" s="1496"/>
      <c r="H389" s="799" t="s">
        <v>970</v>
      </c>
      <c r="I389" s="815"/>
      <c r="J389" s="810"/>
      <c r="K389" s="820"/>
      <c r="L389" s="815"/>
      <c r="M389" s="810"/>
      <c r="N389" s="810"/>
      <c r="O389" s="810"/>
      <c r="P389" s="810"/>
      <c r="Q389" s="810"/>
      <c r="R389" s="810"/>
      <c r="S389" s="810"/>
      <c r="T389" s="810"/>
      <c r="U389" s="810"/>
      <c r="V389" s="810"/>
      <c r="W389" s="799"/>
    </row>
    <row r="390" spans="1:23" s="775" customFormat="1" ht="16.5" customHeight="1" x14ac:dyDescent="0.25">
      <c r="A390" s="1408" t="s">
        <v>541</v>
      </c>
      <c r="B390" s="1473"/>
      <c r="C390" s="1474" t="s">
        <v>1613</v>
      </c>
      <c r="D390" s="1421"/>
      <c r="E390" s="1421"/>
      <c r="F390" s="1421"/>
      <c r="G390" s="1475"/>
      <c r="H390" s="799" t="s">
        <v>970</v>
      </c>
      <c r="I390" s="815"/>
      <c r="J390" s="810"/>
      <c r="K390" s="820"/>
      <c r="L390" s="815"/>
      <c r="M390" s="810"/>
      <c r="N390" s="810"/>
      <c r="O390" s="810"/>
      <c r="P390" s="810"/>
      <c r="Q390" s="810"/>
      <c r="R390" s="810"/>
      <c r="S390" s="810"/>
      <c r="T390" s="810"/>
      <c r="U390" s="810"/>
      <c r="V390" s="810"/>
      <c r="W390" s="799"/>
    </row>
    <row r="391" spans="1:23" s="775" customFormat="1" ht="16.5" customHeight="1" x14ac:dyDescent="0.25">
      <c r="A391" s="1408" t="s">
        <v>572</v>
      </c>
      <c r="B391" s="1473"/>
      <c r="C391" s="1483" t="s">
        <v>1099</v>
      </c>
      <c r="D391" s="1425"/>
      <c r="E391" s="1425"/>
      <c r="F391" s="1425"/>
      <c r="G391" s="1484"/>
      <c r="H391" s="799" t="s">
        <v>970</v>
      </c>
      <c r="I391" s="815"/>
      <c r="J391" s="810"/>
      <c r="K391" s="820"/>
      <c r="L391" s="815"/>
      <c r="M391" s="810"/>
      <c r="N391" s="810"/>
      <c r="O391" s="810"/>
      <c r="P391" s="810"/>
      <c r="Q391" s="810"/>
      <c r="R391" s="810"/>
      <c r="S391" s="810"/>
      <c r="T391" s="810"/>
      <c r="U391" s="810"/>
      <c r="V391" s="810"/>
      <c r="W391" s="799"/>
    </row>
    <row r="392" spans="1:23" s="775" customFormat="1" ht="16.5" customHeight="1" x14ac:dyDescent="0.25">
      <c r="A392" s="1408" t="s">
        <v>573</v>
      </c>
      <c r="B392" s="1473"/>
      <c r="C392" s="1483" t="s">
        <v>1100</v>
      </c>
      <c r="D392" s="1425"/>
      <c r="E392" s="1425"/>
      <c r="F392" s="1425"/>
      <c r="G392" s="1484"/>
      <c r="H392" s="799" t="s">
        <v>970</v>
      </c>
      <c r="I392" s="815"/>
      <c r="J392" s="810"/>
      <c r="K392" s="820"/>
      <c r="L392" s="815"/>
      <c r="M392" s="810"/>
      <c r="N392" s="810"/>
      <c r="O392" s="810"/>
      <c r="P392" s="810"/>
      <c r="Q392" s="810"/>
      <c r="R392" s="810"/>
      <c r="S392" s="810"/>
      <c r="T392" s="810"/>
      <c r="U392" s="810"/>
      <c r="V392" s="810"/>
      <c r="W392" s="799"/>
    </row>
    <row r="393" spans="1:23" s="775" customFormat="1" ht="16.5" customHeight="1" x14ac:dyDescent="0.25">
      <c r="A393" s="1408" t="s">
        <v>574</v>
      </c>
      <c r="B393" s="1473"/>
      <c r="C393" s="1483" t="s">
        <v>1101</v>
      </c>
      <c r="D393" s="1425"/>
      <c r="E393" s="1425"/>
      <c r="F393" s="1425"/>
      <c r="G393" s="1484"/>
      <c r="H393" s="799" t="s">
        <v>970</v>
      </c>
      <c r="I393" s="1093"/>
      <c r="J393" s="810"/>
      <c r="K393" s="820"/>
      <c r="L393" s="815"/>
      <c r="M393" s="810"/>
      <c r="N393" s="810"/>
      <c r="O393" s="810"/>
      <c r="P393" s="810"/>
      <c r="Q393" s="810"/>
      <c r="R393" s="810"/>
      <c r="S393" s="810"/>
      <c r="T393" s="810"/>
      <c r="U393" s="810"/>
      <c r="V393" s="810"/>
      <c r="W393" s="799"/>
    </row>
    <row r="394" spans="1:23" s="775" customFormat="1" ht="8.25" customHeight="1" x14ac:dyDescent="0.25">
      <c r="A394" s="1533" t="s">
        <v>542</v>
      </c>
      <c r="B394" s="1534"/>
      <c r="C394" s="1535" t="s">
        <v>1614</v>
      </c>
      <c r="D394" s="1536"/>
      <c r="E394" s="1536"/>
      <c r="F394" s="1536"/>
      <c r="G394" s="1537"/>
      <c r="H394" s="856" t="s">
        <v>970</v>
      </c>
      <c r="I394" s="1092"/>
      <c r="J394" s="857"/>
      <c r="K394" s="858"/>
      <c r="L394" s="859"/>
      <c r="M394" s="857"/>
      <c r="N394" s="857"/>
      <c r="O394" s="857"/>
      <c r="P394" s="857"/>
      <c r="Q394" s="857"/>
      <c r="R394" s="857"/>
      <c r="S394" s="857"/>
      <c r="T394" s="857"/>
      <c r="U394" s="857"/>
      <c r="V394" s="857"/>
      <c r="W394" s="856"/>
    </row>
    <row r="395" spans="1:23" s="775" customFormat="1" ht="9.75" customHeight="1" x14ac:dyDescent="0.25">
      <c r="A395" s="1533" t="s">
        <v>539</v>
      </c>
      <c r="B395" s="1534"/>
      <c r="C395" s="1541" t="s">
        <v>1615</v>
      </c>
      <c r="D395" s="1542"/>
      <c r="E395" s="1542"/>
      <c r="F395" s="1542"/>
      <c r="G395" s="1543"/>
      <c r="H395" s="860" t="s">
        <v>970</v>
      </c>
      <c r="I395" s="816">
        <f>I66</f>
        <v>66.652000000000001</v>
      </c>
      <c r="J395" s="817">
        <f>J66</f>
        <v>67.918000000000006</v>
      </c>
      <c r="K395" s="861">
        <f>K66</f>
        <v>75.376000000000005</v>
      </c>
      <c r="L395" s="862">
        <f>L396</f>
        <v>59.88</v>
      </c>
      <c r="M395" s="817">
        <f t="shared" ref="M395:W395" si="109">M396</f>
        <v>60.49</v>
      </c>
      <c r="N395" s="817">
        <f t="shared" si="109"/>
        <v>58.9</v>
      </c>
      <c r="O395" s="817">
        <f t="shared" si="109"/>
        <v>75.37</v>
      </c>
      <c r="P395" s="817">
        <f t="shared" si="109"/>
        <v>55.93</v>
      </c>
      <c r="Q395" s="817">
        <f t="shared" si="109"/>
        <v>75.77</v>
      </c>
      <c r="R395" s="817">
        <f t="shared" si="109"/>
        <v>54.68</v>
      </c>
      <c r="S395" s="817">
        <f t="shared" si="109"/>
        <v>76.209999999999994</v>
      </c>
      <c r="T395" s="817">
        <f t="shared" si="109"/>
        <v>63.38</v>
      </c>
      <c r="U395" s="817">
        <f t="shared" si="109"/>
        <v>77.930000000000007</v>
      </c>
      <c r="V395" s="817">
        <f t="shared" si="109"/>
        <v>292.77</v>
      </c>
      <c r="W395" s="863">
        <f t="shared" si="109"/>
        <v>365.76</v>
      </c>
    </row>
    <row r="396" spans="1:23" s="775" customFormat="1" ht="9.75" customHeight="1" x14ac:dyDescent="0.25">
      <c r="A396" s="1533" t="s">
        <v>544</v>
      </c>
      <c r="B396" s="1534"/>
      <c r="C396" s="1544" t="s">
        <v>1616</v>
      </c>
      <c r="D396" s="1545"/>
      <c r="E396" s="1545"/>
      <c r="F396" s="1545"/>
      <c r="G396" s="1546"/>
      <c r="H396" s="860" t="s">
        <v>970</v>
      </c>
      <c r="I396" s="816">
        <f>I402</f>
        <v>26.5</v>
      </c>
      <c r="J396" s="817">
        <f t="shared" ref="J396:Q396" si="110">J402</f>
        <v>29.52</v>
      </c>
      <c r="K396" s="861">
        <f t="shared" si="110"/>
        <v>29.536000000000001</v>
      </c>
      <c r="L396" s="862">
        <f t="shared" si="110"/>
        <v>59.88</v>
      </c>
      <c r="M396" s="817">
        <f t="shared" si="110"/>
        <v>60.49</v>
      </c>
      <c r="N396" s="817">
        <f t="shared" si="110"/>
        <v>58.9</v>
      </c>
      <c r="O396" s="817">
        <f t="shared" si="110"/>
        <v>75.37</v>
      </c>
      <c r="P396" s="817">
        <f t="shared" si="110"/>
        <v>55.93</v>
      </c>
      <c r="Q396" s="817">
        <f t="shared" si="110"/>
        <v>75.77</v>
      </c>
      <c r="R396" s="817">
        <f>R402</f>
        <v>54.68</v>
      </c>
      <c r="S396" s="817">
        <f>S402</f>
        <v>76.209999999999994</v>
      </c>
      <c r="T396" s="817">
        <f>T402</f>
        <v>63.38</v>
      </c>
      <c r="U396" s="817">
        <f>U402</f>
        <v>77.930000000000007</v>
      </c>
      <c r="V396" s="817">
        <f>L396+N396+P396+R396+T396</f>
        <v>292.77</v>
      </c>
      <c r="W396" s="863">
        <f>M396+O396+Q396+S396+U396-0.01</f>
        <v>365.76</v>
      </c>
    </row>
    <row r="397" spans="1:23" s="775" customFormat="1" ht="9.75" customHeight="1" x14ac:dyDescent="0.25">
      <c r="A397" s="1533" t="s">
        <v>591</v>
      </c>
      <c r="B397" s="1534"/>
      <c r="C397" s="1538" t="s">
        <v>1617</v>
      </c>
      <c r="D397" s="1539"/>
      <c r="E397" s="1539"/>
      <c r="F397" s="1539"/>
      <c r="G397" s="1540"/>
      <c r="H397" s="856" t="s">
        <v>970</v>
      </c>
      <c r="I397" s="816"/>
      <c r="J397" s="817"/>
      <c r="K397" s="861"/>
      <c r="L397" s="862"/>
      <c r="M397" s="817"/>
      <c r="N397" s="817"/>
      <c r="O397" s="817"/>
      <c r="P397" s="817"/>
      <c r="Q397" s="817"/>
      <c r="R397" s="817"/>
      <c r="S397" s="817"/>
      <c r="T397" s="817"/>
      <c r="U397" s="817"/>
      <c r="V397" s="817"/>
      <c r="W397" s="863"/>
    </row>
    <row r="398" spans="1:23" s="775" customFormat="1" ht="16.5" customHeight="1" x14ac:dyDescent="0.25">
      <c r="A398" s="1533" t="s">
        <v>1618</v>
      </c>
      <c r="B398" s="1534"/>
      <c r="C398" s="1538" t="s">
        <v>1099</v>
      </c>
      <c r="D398" s="1539"/>
      <c r="E398" s="1539"/>
      <c r="F398" s="1539"/>
      <c r="G398" s="1540"/>
      <c r="H398" s="856" t="s">
        <v>970</v>
      </c>
      <c r="I398" s="864"/>
      <c r="J398" s="865"/>
      <c r="K398" s="866"/>
      <c r="L398" s="867"/>
      <c r="M398" s="865"/>
      <c r="N398" s="865"/>
      <c r="O398" s="865"/>
      <c r="P398" s="865"/>
      <c r="Q398" s="865"/>
      <c r="R398" s="865"/>
      <c r="S398" s="865"/>
      <c r="T398" s="865"/>
      <c r="U398" s="865"/>
      <c r="V398" s="865"/>
      <c r="W398" s="860"/>
    </row>
    <row r="399" spans="1:23" s="775" customFormat="1" ht="16.5" customHeight="1" x14ac:dyDescent="0.25">
      <c r="A399" s="1533" t="s">
        <v>1619</v>
      </c>
      <c r="B399" s="1534"/>
      <c r="C399" s="1538" t="s">
        <v>1100</v>
      </c>
      <c r="D399" s="1539"/>
      <c r="E399" s="1539"/>
      <c r="F399" s="1539"/>
      <c r="G399" s="1540"/>
      <c r="H399" s="856" t="s">
        <v>970</v>
      </c>
      <c r="I399" s="864"/>
      <c r="J399" s="865"/>
      <c r="K399" s="866"/>
      <c r="L399" s="867"/>
      <c r="M399" s="865"/>
      <c r="N399" s="865"/>
      <c r="O399" s="865"/>
      <c r="P399" s="865"/>
      <c r="Q399" s="865"/>
      <c r="R399" s="865"/>
      <c r="S399" s="865"/>
      <c r="T399" s="865"/>
      <c r="U399" s="865"/>
      <c r="V399" s="865"/>
      <c r="W399" s="860"/>
    </row>
    <row r="400" spans="1:23" s="775" customFormat="1" ht="16.5" customHeight="1" x14ac:dyDescent="0.25">
      <c r="A400" s="1533" t="s">
        <v>1620</v>
      </c>
      <c r="B400" s="1534"/>
      <c r="C400" s="1538" t="s">
        <v>1101</v>
      </c>
      <c r="D400" s="1539"/>
      <c r="E400" s="1539"/>
      <c r="F400" s="1539"/>
      <c r="G400" s="1540"/>
      <c r="H400" s="856" t="s">
        <v>970</v>
      </c>
      <c r="I400" s="864"/>
      <c r="J400" s="865"/>
      <c r="K400" s="866"/>
      <c r="L400" s="867"/>
      <c r="M400" s="865"/>
      <c r="N400" s="865"/>
      <c r="O400" s="865"/>
      <c r="P400" s="865"/>
      <c r="Q400" s="865"/>
      <c r="R400" s="865"/>
      <c r="S400" s="865"/>
      <c r="T400" s="865"/>
      <c r="U400" s="865"/>
      <c r="V400" s="865"/>
      <c r="W400" s="860"/>
    </row>
    <row r="401" spans="1:23" s="775" customFormat="1" ht="9.75" customHeight="1" x14ac:dyDescent="0.25">
      <c r="A401" s="1533" t="s">
        <v>592</v>
      </c>
      <c r="B401" s="1534"/>
      <c r="C401" s="1538" t="s">
        <v>1410</v>
      </c>
      <c r="D401" s="1539"/>
      <c r="E401" s="1539"/>
      <c r="F401" s="1539"/>
      <c r="G401" s="1540"/>
      <c r="H401" s="856" t="s">
        <v>970</v>
      </c>
      <c r="I401" s="864"/>
      <c r="J401" s="865"/>
      <c r="K401" s="866"/>
      <c r="L401" s="867"/>
      <c r="M401" s="865"/>
      <c r="N401" s="865"/>
      <c r="O401" s="865"/>
      <c r="P401" s="865"/>
      <c r="Q401" s="865"/>
      <c r="R401" s="865"/>
      <c r="S401" s="865"/>
      <c r="T401" s="865"/>
      <c r="U401" s="865"/>
      <c r="V401" s="865"/>
      <c r="W401" s="860"/>
    </row>
    <row r="402" spans="1:23" s="775" customFormat="1" ht="9.75" customHeight="1" x14ac:dyDescent="0.25">
      <c r="A402" s="1533" t="s">
        <v>593</v>
      </c>
      <c r="B402" s="1534"/>
      <c r="C402" s="1547" t="s">
        <v>1413</v>
      </c>
      <c r="D402" s="1548"/>
      <c r="E402" s="1548"/>
      <c r="F402" s="1548"/>
      <c r="G402" s="1549"/>
      <c r="H402" s="860" t="s">
        <v>970</v>
      </c>
      <c r="I402" s="868">
        <v>26.5</v>
      </c>
      <c r="J402" s="869">
        <v>29.52</v>
      </c>
      <c r="K402" s="870">
        <v>29.536000000000001</v>
      </c>
      <c r="L402" s="871">
        <f>L208-L378</f>
        <v>59.88</v>
      </c>
      <c r="M402" s="869">
        <f t="shared" ref="M402:U402" si="111">M208-M378</f>
        <v>60.49</v>
      </c>
      <c r="N402" s="869">
        <f t="shared" si="111"/>
        <v>58.9</v>
      </c>
      <c r="O402" s="869">
        <f t="shared" si="111"/>
        <v>75.37</v>
      </c>
      <c r="P402" s="869">
        <f t="shared" si="111"/>
        <v>55.93</v>
      </c>
      <c r="Q402" s="869">
        <f t="shared" si="111"/>
        <v>75.77</v>
      </c>
      <c r="R402" s="869">
        <f t="shared" si="111"/>
        <v>54.68</v>
      </c>
      <c r="S402" s="869">
        <f t="shared" si="111"/>
        <v>76.209999999999994</v>
      </c>
      <c r="T402" s="869">
        <f t="shared" si="111"/>
        <v>63.38</v>
      </c>
      <c r="U402" s="869">
        <f t="shared" si="111"/>
        <v>77.930000000000007</v>
      </c>
      <c r="V402" s="817">
        <f>L402+N402+P402+R402+T402</f>
        <v>292.77</v>
      </c>
      <c r="W402" s="863">
        <f>M402+O402+Q402+S402+U402-0.01</f>
        <v>365.76</v>
      </c>
    </row>
    <row r="403" spans="1:23" s="775" customFormat="1" ht="9.75" customHeight="1" x14ac:dyDescent="0.25">
      <c r="A403" s="1533" t="s">
        <v>594</v>
      </c>
      <c r="B403" s="1534"/>
      <c r="C403" s="1538" t="s">
        <v>1416</v>
      </c>
      <c r="D403" s="1539"/>
      <c r="E403" s="1539"/>
      <c r="F403" s="1539"/>
      <c r="G403" s="1540"/>
      <c r="H403" s="856" t="s">
        <v>970</v>
      </c>
      <c r="I403" s="868"/>
      <c r="J403" s="869"/>
      <c r="K403" s="870"/>
      <c r="L403" s="871"/>
      <c r="M403" s="869"/>
      <c r="N403" s="869"/>
      <c r="O403" s="869"/>
      <c r="P403" s="869"/>
      <c r="Q403" s="869"/>
      <c r="R403" s="869"/>
      <c r="S403" s="869"/>
      <c r="T403" s="869"/>
      <c r="U403" s="869"/>
      <c r="V403" s="869"/>
      <c r="W403" s="872"/>
    </row>
    <row r="404" spans="1:23" s="775" customFormat="1" ht="9.75" customHeight="1" x14ac:dyDescent="0.25">
      <c r="A404" s="1533" t="s">
        <v>999</v>
      </c>
      <c r="B404" s="1534"/>
      <c r="C404" s="1538" t="s">
        <v>1422</v>
      </c>
      <c r="D404" s="1539"/>
      <c r="E404" s="1539"/>
      <c r="F404" s="1539"/>
      <c r="G404" s="1540"/>
      <c r="H404" s="856" t="s">
        <v>970</v>
      </c>
      <c r="I404" s="868"/>
      <c r="J404" s="869"/>
      <c r="K404" s="870"/>
      <c r="L404" s="871"/>
      <c r="M404" s="869"/>
      <c r="N404" s="869"/>
      <c r="O404" s="869"/>
      <c r="P404" s="869"/>
      <c r="Q404" s="869"/>
      <c r="R404" s="869"/>
      <c r="S404" s="869"/>
      <c r="T404" s="869"/>
      <c r="U404" s="869"/>
      <c r="V404" s="869"/>
      <c r="W404" s="872"/>
    </row>
    <row r="405" spans="1:23" s="775" customFormat="1" ht="9.75" customHeight="1" x14ac:dyDescent="0.25">
      <c r="A405" s="1533" t="s">
        <v>1000</v>
      </c>
      <c r="B405" s="1534"/>
      <c r="C405" s="1538" t="s">
        <v>1424</v>
      </c>
      <c r="D405" s="1539"/>
      <c r="E405" s="1539"/>
      <c r="F405" s="1539"/>
      <c r="G405" s="1540"/>
      <c r="H405" s="856" t="s">
        <v>970</v>
      </c>
      <c r="I405" s="868"/>
      <c r="J405" s="869"/>
      <c r="K405" s="870"/>
      <c r="L405" s="871"/>
      <c r="M405" s="869"/>
      <c r="N405" s="869"/>
      <c r="O405" s="869"/>
      <c r="P405" s="869"/>
      <c r="Q405" s="869"/>
      <c r="R405" s="869"/>
      <c r="S405" s="869"/>
      <c r="T405" s="869"/>
      <c r="U405" s="869"/>
      <c r="V405" s="869"/>
      <c r="W405" s="872"/>
    </row>
    <row r="406" spans="1:23" s="775" customFormat="1" ht="16.5" customHeight="1" x14ac:dyDescent="0.25">
      <c r="A406" s="1533" t="s">
        <v>1001</v>
      </c>
      <c r="B406" s="1534"/>
      <c r="C406" s="1538" t="s">
        <v>1621</v>
      </c>
      <c r="D406" s="1539"/>
      <c r="E406" s="1539"/>
      <c r="F406" s="1539"/>
      <c r="G406" s="1540"/>
      <c r="H406" s="856" t="s">
        <v>970</v>
      </c>
      <c r="I406" s="868"/>
      <c r="J406" s="869"/>
      <c r="K406" s="870"/>
      <c r="L406" s="871"/>
      <c r="M406" s="869"/>
      <c r="N406" s="869"/>
      <c r="O406" s="869"/>
      <c r="P406" s="869"/>
      <c r="Q406" s="869"/>
      <c r="R406" s="869"/>
      <c r="S406" s="869"/>
      <c r="T406" s="869"/>
      <c r="U406" s="869"/>
      <c r="V406" s="869"/>
      <c r="W406" s="872"/>
    </row>
    <row r="407" spans="1:23" s="775" customFormat="1" ht="9.75" customHeight="1" x14ac:dyDescent="0.25">
      <c r="A407" s="1533" t="s">
        <v>1002</v>
      </c>
      <c r="B407" s="1534"/>
      <c r="C407" s="1550" t="s">
        <v>1112</v>
      </c>
      <c r="D407" s="1551"/>
      <c r="E407" s="1551"/>
      <c r="F407" s="1551"/>
      <c r="G407" s="1552"/>
      <c r="H407" s="856" t="s">
        <v>970</v>
      </c>
      <c r="I407" s="868"/>
      <c r="J407" s="869"/>
      <c r="K407" s="870"/>
      <c r="L407" s="871"/>
      <c r="M407" s="869"/>
      <c r="N407" s="869"/>
      <c r="O407" s="869"/>
      <c r="P407" s="869"/>
      <c r="Q407" s="869"/>
      <c r="R407" s="869"/>
      <c r="S407" s="869"/>
      <c r="T407" s="869"/>
      <c r="U407" s="869"/>
      <c r="V407" s="869"/>
      <c r="W407" s="872"/>
    </row>
    <row r="408" spans="1:23" s="775" customFormat="1" ht="9.75" customHeight="1" x14ac:dyDescent="0.25">
      <c r="A408" s="1533" t="s">
        <v>1003</v>
      </c>
      <c r="B408" s="1534"/>
      <c r="C408" s="1550" t="s">
        <v>988</v>
      </c>
      <c r="D408" s="1551"/>
      <c r="E408" s="1551"/>
      <c r="F408" s="1551"/>
      <c r="G408" s="1552"/>
      <c r="H408" s="856" t="s">
        <v>970</v>
      </c>
      <c r="I408" s="868"/>
      <c r="J408" s="869"/>
      <c r="K408" s="870"/>
      <c r="L408" s="871"/>
      <c r="M408" s="869"/>
      <c r="N408" s="869"/>
      <c r="O408" s="869"/>
      <c r="P408" s="869"/>
      <c r="Q408" s="869"/>
      <c r="R408" s="869"/>
      <c r="S408" s="869"/>
      <c r="T408" s="869"/>
      <c r="U408" s="869"/>
      <c r="V408" s="869"/>
      <c r="W408" s="872"/>
    </row>
    <row r="409" spans="1:23" s="775" customFormat="1" ht="9.75" customHeight="1" x14ac:dyDescent="0.25">
      <c r="A409" s="1533" t="s">
        <v>545</v>
      </c>
      <c r="B409" s="1534"/>
      <c r="C409" s="1544" t="s">
        <v>1622</v>
      </c>
      <c r="D409" s="1545"/>
      <c r="E409" s="1545"/>
      <c r="F409" s="1545"/>
      <c r="G409" s="1546"/>
      <c r="H409" s="860" t="s">
        <v>970</v>
      </c>
      <c r="I409" s="873">
        <f>I395-I402</f>
        <v>40.15</v>
      </c>
      <c r="J409" s="874">
        <f>J395-J402</f>
        <v>38.4</v>
      </c>
      <c r="K409" s="875">
        <f>K395-K402</f>
        <v>45.84</v>
      </c>
      <c r="L409" s="876"/>
      <c r="M409" s="874"/>
      <c r="N409" s="874"/>
      <c r="O409" s="874"/>
      <c r="P409" s="874"/>
      <c r="Q409" s="874"/>
      <c r="R409" s="874"/>
      <c r="S409" s="874"/>
      <c r="T409" s="874"/>
      <c r="U409" s="874"/>
      <c r="V409" s="874"/>
      <c r="W409" s="877"/>
    </row>
    <row r="410" spans="1:23" s="775" customFormat="1" ht="9.75" customHeight="1" x14ac:dyDescent="0.25">
      <c r="A410" s="1533" t="s">
        <v>546</v>
      </c>
      <c r="B410" s="1534"/>
      <c r="C410" s="1544" t="s">
        <v>1623</v>
      </c>
      <c r="D410" s="1545"/>
      <c r="E410" s="1545"/>
      <c r="F410" s="1545"/>
      <c r="G410" s="1546"/>
      <c r="H410" s="860" t="s">
        <v>970</v>
      </c>
      <c r="I410" s="868"/>
      <c r="J410" s="869"/>
      <c r="K410" s="870"/>
      <c r="L410" s="871"/>
      <c r="M410" s="869"/>
      <c r="N410" s="869"/>
      <c r="O410" s="869"/>
      <c r="P410" s="869"/>
      <c r="Q410" s="869"/>
      <c r="R410" s="869"/>
      <c r="S410" s="869"/>
      <c r="T410" s="869"/>
      <c r="U410" s="869"/>
      <c r="V410" s="869"/>
      <c r="W410" s="872"/>
    </row>
    <row r="411" spans="1:23" s="775" customFormat="1" ht="8.25" customHeight="1" x14ac:dyDescent="0.25">
      <c r="A411" s="1533" t="s">
        <v>599</v>
      </c>
      <c r="B411" s="1534"/>
      <c r="C411" s="1538" t="s">
        <v>1617</v>
      </c>
      <c r="D411" s="1539"/>
      <c r="E411" s="1539"/>
      <c r="F411" s="1539"/>
      <c r="G411" s="1540"/>
      <c r="H411" s="856" t="s">
        <v>970</v>
      </c>
      <c r="I411" s="1092"/>
      <c r="J411" s="857"/>
      <c r="K411" s="858"/>
      <c r="L411" s="859"/>
      <c r="M411" s="857"/>
      <c r="N411" s="857"/>
      <c r="O411" s="857"/>
      <c r="P411" s="857"/>
      <c r="Q411" s="857"/>
      <c r="R411" s="857"/>
      <c r="S411" s="857"/>
      <c r="T411" s="857"/>
      <c r="U411" s="857"/>
      <c r="V411" s="857"/>
      <c r="W411" s="878"/>
    </row>
    <row r="412" spans="1:23" s="775" customFormat="1" ht="16.5" customHeight="1" x14ac:dyDescent="0.25">
      <c r="A412" s="1533" t="s">
        <v>947</v>
      </c>
      <c r="B412" s="1534"/>
      <c r="C412" s="1538" t="s">
        <v>1099</v>
      </c>
      <c r="D412" s="1539"/>
      <c r="E412" s="1539"/>
      <c r="F412" s="1539"/>
      <c r="G412" s="1540"/>
      <c r="H412" s="856" t="s">
        <v>970</v>
      </c>
      <c r="I412" s="1092"/>
      <c r="J412" s="857"/>
      <c r="K412" s="858"/>
      <c r="L412" s="859"/>
      <c r="M412" s="857"/>
      <c r="N412" s="857"/>
      <c r="O412" s="857"/>
      <c r="P412" s="857"/>
      <c r="Q412" s="857"/>
      <c r="R412" s="857"/>
      <c r="S412" s="857"/>
      <c r="T412" s="857"/>
      <c r="U412" s="857"/>
      <c r="V412" s="857"/>
      <c r="W412" s="878"/>
    </row>
    <row r="413" spans="1:23" s="775" customFormat="1" ht="16.5" customHeight="1" x14ac:dyDescent="0.25">
      <c r="A413" s="1533" t="s">
        <v>1624</v>
      </c>
      <c r="B413" s="1534"/>
      <c r="C413" s="1538" t="s">
        <v>1100</v>
      </c>
      <c r="D413" s="1539"/>
      <c r="E413" s="1539"/>
      <c r="F413" s="1539"/>
      <c r="G413" s="1540"/>
      <c r="H413" s="856" t="s">
        <v>970</v>
      </c>
      <c r="I413" s="1092"/>
      <c r="J413" s="857"/>
      <c r="K413" s="858"/>
      <c r="L413" s="859"/>
      <c r="M413" s="857"/>
      <c r="N413" s="857"/>
      <c r="O413" s="857"/>
      <c r="P413" s="857"/>
      <c r="Q413" s="857"/>
      <c r="R413" s="857"/>
      <c r="S413" s="857"/>
      <c r="T413" s="857"/>
      <c r="U413" s="857"/>
      <c r="V413" s="857"/>
      <c r="W413" s="878"/>
    </row>
    <row r="414" spans="1:23" s="775" customFormat="1" ht="16.5" customHeight="1" x14ac:dyDescent="0.25">
      <c r="A414" s="1533" t="s">
        <v>1624</v>
      </c>
      <c r="B414" s="1534"/>
      <c r="C414" s="1538" t="s">
        <v>1101</v>
      </c>
      <c r="D414" s="1539"/>
      <c r="E414" s="1539"/>
      <c r="F414" s="1539"/>
      <c r="G414" s="1540"/>
      <c r="H414" s="856" t="s">
        <v>970</v>
      </c>
      <c r="I414" s="1092"/>
      <c r="J414" s="857"/>
      <c r="K414" s="858"/>
      <c r="L414" s="859"/>
      <c r="M414" s="857"/>
      <c r="N414" s="857"/>
      <c r="O414" s="857"/>
      <c r="P414" s="857"/>
      <c r="Q414" s="857"/>
      <c r="R414" s="857"/>
      <c r="S414" s="857"/>
      <c r="T414" s="857"/>
      <c r="U414" s="857"/>
      <c r="V414" s="857"/>
      <c r="W414" s="878"/>
    </row>
    <row r="415" spans="1:23" s="775" customFormat="1" ht="8.25" customHeight="1" x14ac:dyDescent="0.25">
      <c r="A415" s="1533" t="s">
        <v>600</v>
      </c>
      <c r="B415" s="1534"/>
      <c r="C415" s="1538" t="s">
        <v>1410</v>
      </c>
      <c r="D415" s="1539"/>
      <c r="E415" s="1539"/>
      <c r="F415" s="1539"/>
      <c r="G415" s="1540"/>
      <c r="H415" s="856" t="s">
        <v>970</v>
      </c>
      <c r="I415" s="1092"/>
      <c r="J415" s="857"/>
      <c r="K415" s="858"/>
      <c r="L415" s="859"/>
      <c r="M415" s="857"/>
      <c r="N415" s="857"/>
      <c r="O415" s="857"/>
      <c r="P415" s="857"/>
      <c r="Q415" s="857"/>
      <c r="R415" s="857"/>
      <c r="S415" s="857"/>
      <c r="T415" s="857"/>
      <c r="U415" s="857"/>
      <c r="V415" s="857"/>
      <c r="W415" s="878"/>
    </row>
    <row r="416" spans="1:23" s="775" customFormat="1" ht="8.25" customHeight="1" x14ac:dyDescent="0.25">
      <c r="A416" s="1533" t="s">
        <v>601</v>
      </c>
      <c r="B416" s="1534"/>
      <c r="C416" s="1538" t="s">
        <v>1413</v>
      </c>
      <c r="D416" s="1539"/>
      <c r="E416" s="1539"/>
      <c r="F416" s="1539"/>
      <c r="G416" s="1540"/>
      <c r="H416" s="856" t="s">
        <v>970</v>
      </c>
      <c r="I416" s="1092"/>
      <c r="J416" s="857"/>
      <c r="K416" s="858"/>
      <c r="L416" s="859"/>
      <c r="M416" s="857"/>
      <c r="N416" s="857"/>
      <c r="O416" s="857"/>
      <c r="P416" s="857"/>
      <c r="Q416" s="857"/>
      <c r="R416" s="857"/>
      <c r="S416" s="857"/>
      <c r="T416" s="857"/>
      <c r="U416" s="857"/>
      <c r="V416" s="857"/>
      <c r="W416" s="878"/>
    </row>
    <row r="417" spans="1:23" s="775" customFormat="1" ht="8.25" customHeight="1" x14ac:dyDescent="0.25">
      <c r="A417" s="1533" t="s">
        <v>602</v>
      </c>
      <c r="B417" s="1534"/>
      <c r="C417" s="1538" t="s">
        <v>1416</v>
      </c>
      <c r="D417" s="1539"/>
      <c r="E417" s="1539"/>
      <c r="F417" s="1539"/>
      <c r="G417" s="1540"/>
      <c r="H417" s="856" t="s">
        <v>970</v>
      </c>
      <c r="I417" s="1092"/>
      <c r="J417" s="857"/>
      <c r="K417" s="858"/>
      <c r="L417" s="859"/>
      <c r="M417" s="857"/>
      <c r="N417" s="857"/>
      <c r="O417" s="857"/>
      <c r="P417" s="857"/>
      <c r="Q417" s="857"/>
      <c r="R417" s="857"/>
      <c r="S417" s="857"/>
      <c r="T417" s="857"/>
      <c r="U417" s="857"/>
      <c r="V417" s="857"/>
      <c r="W417" s="878"/>
    </row>
    <row r="418" spans="1:23" s="775" customFormat="1" ht="8.25" customHeight="1" x14ac:dyDescent="0.25">
      <c r="A418" s="1533" t="s">
        <v>718</v>
      </c>
      <c r="B418" s="1534"/>
      <c r="C418" s="1538" t="s">
        <v>1422</v>
      </c>
      <c r="D418" s="1539"/>
      <c r="E418" s="1539"/>
      <c r="F418" s="1539"/>
      <c r="G418" s="1540"/>
      <c r="H418" s="856" t="s">
        <v>970</v>
      </c>
      <c r="I418" s="1092"/>
      <c r="J418" s="857"/>
      <c r="K418" s="858"/>
      <c r="L418" s="859"/>
      <c r="M418" s="857"/>
      <c r="N418" s="857"/>
      <c r="O418" s="857"/>
      <c r="P418" s="857"/>
      <c r="Q418" s="857"/>
      <c r="R418" s="857"/>
      <c r="S418" s="857"/>
      <c r="T418" s="857"/>
      <c r="U418" s="857"/>
      <c r="V418" s="857"/>
      <c r="W418" s="878"/>
    </row>
    <row r="419" spans="1:23" s="775" customFormat="1" ht="8.25" customHeight="1" x14ac:dyDescent="0.25">
      <c r="A419" s="1533" t="s">
        <v>719</v>
      </c>
      <c r="B419" s="1534"/>
      <c r="C419" s="1538" t="s">
        <v>1424</v>
      </c>
      <c r="D419" s="1539"/>
      <c r="E419" s="1539"/>
      <c r="F419" s="1539"/>
      <c r="G419" s="1540"/>
      <c r="H419" s="856" t="s">
        <v>970</v>
      </c>
      <c r="I419" s="1092"/>
      <c r="J419" s="857"/>
      <c r="K419" s="858"/>
      <c r="L419" s="859"/>
      <c r="M419" s="857"/>
      <c r="N419" s="857"/>
      <c r="O419" s="857"/>
      <c r="P419" s="857"/>
      <c r="Q419" s="857"/>
      <c r="R419" s="857"/>
      <c r="S419" s="857"/>
      <c r="T419" s="857"/>
      <c r="U419" s="857"/>
      <c r="V419" s="857"/>
      <c r="W419" s="878"/>
    </row>
    <row r="420" spans="1:23" s="775" customFormat="1" ht="16.5" customHeight="1" x14ac:dyDescent="0.25">
      <c r="A420" s="1533" t="s">
        <v>720</v>
      </c>
      <c r="B420" s="1534"/>
      <c r="C420" s="1538" t="s">
        <v>1621</v>
      </c>
      <c r="D420" s="1539"/>
      <c r="E420" s="1539"/>
      <c r="F420" s="1539"/>
      <c r="G420" s="1540"/>
      <c r="H420" s="856" t="s">
        <v>970</v>
      </c>
      <c r="I420" s="1092"/>
      <c r="J420" s="857"/>
      <c r="K420" s="858"/>
      <c r="L420" s="859"/>
      <c r="M420" s="857"/>
      <c r="N420" s="857"/>
      <c r="O420" s="857"/>
      <c r="P420" s="857"/>
      <c r="Q420" s="857"/>
      <c r="R420" s="857"/>
      <c r="S420" s="857"/>
      <c r="T420" s="857"/>
      <c r="U420" s="857"/>
      <c r="V420" s="857"/>
      <c r="W420" s="878"/>
    </row>
    <row r="421" spans="1:23" s="775" customFormat="1" ht="8.25" customHeight="1" x14ac:dyDescent="0.25">
      <c r="A421" s="1533" t="s">
        <v>1006</v>
      </c>
      <c r="B421" s="1534"/>
      <c r="C421" s="1550" t="s">
        <v>1112</v>
      </c>
      <c r="D421" s="1551"/>
      <c r="E421" s="1551"/>
      <c r="F421" s="1551"/>
      <c r="G421" s="1552"/>
      <c r="H421" s="856" t="s">
        <v>970</v>
      </c>
      <c r="I421" s="1092"/>
      <c r="J421" s="857"/>
      <c r="K421" s="858"/>
      <c r="L421" s="859"/>
      <c r="M421" s="857"/>
      <c r="N421" s="857"/>
      <c r="O421" s="857"/>
      <c r="P421" s="857"/>
      <c r="Q421" s="857"/>
      <c r="R421" s="857"/>
      <c r="S421" s="857"/>
      <c r="T421" s="857"/>
      <c r="U421" s="857"/>
      <c r="V421" s="857"/>
      <c r="W421" s="878"/>
    </row>
    <row r="422" spans="1:23" s="775" customFormat="1" ht="8.25" customHeight="1" x14ac:dyDescent="0.25">
      <c r="A422" s="1533" t="s">
        <v>1007</v>
      </c>
      <c r="B422" s="1534"/>
      <c r="C422" s="1550" t="s">
        <v>988</v>
      </c>
      <c r="D422" s="1551"/>
      <c r="E422" s="1551"/>
      <c r="F422" s="1551"/>
      <c r="G422" s="1552"/>
      <c r="H422" s="856" t="s">
        <v>970</v>
      </c>
      <c r="I422" s="1092"/>
      <c r="J422" s="857"/>
      <c r="K422" s="858"/>
      <c r="L422" s="859"/>
      <c r="M422" s="857"/>
      <c r="N422" s="857"/>
      <c r="O422" s="857"/>
      <c r="P422" s="857"/>
      <c r="Q422" s="857"/>
      <c r="R422" s="857"/>
      <c r="S422" s="857"/>
      <c r="T422" s="857"/>
      <c r="U422" s="857"/>
      <c r="V422" s="857"/>
      <c r="W422" s="878"/>
    </row>
    <row r="423" spans="1:23" s="775" customFormat="1" ht="8.25" customHeight="1" x14ac:dyDescent="0.25">
      <c r="A423" s="1533" t="s">
        <v>722</v>
      </c>
      <c r="B423" s="1534"/>
      <c r="C423" s="1553" t="s">
        <v>1625</v>
      </c>
      <c r="D423" s="1554"/>
      <c r="E423" s="1554"/>
      <c r="F423" s="1554"/>
      <c r="G423" s="1555"/>
      <c r="H423" s="856" t="s">
        <v>970</v>
      </c>
      <c r="I423" s="1092"/>
      <c r="J423" s="857"/>
      <c r="K423" s="858"/>
      <c r="L423" s="859"/>
      <c r="M423" s="857"/>
      <c r="N423" s="857"/>
      <c r="O423" s="857"/>
      <c r="P423" s="857"/>
      <c r="Q423" s="857"/>
      <c r="R423" s="857"/>
      <c r="S423" s="857"/>
      <c r="T423" s="857"/>
      <c r="U423" s="857"/>
      <c r="V423" s="857"/>
      <c r="W423" s="878"/>
    </row>
    <row r="424" spans="1:23" s="775" customFormat="1" ht="8.25" customHeight="1" x14ac:dyDescent="0.25">
      <c r="A424" s="1533" t="s">
        <v>742</v>
      </c>
      <c r="B424" s="1534"/>
      <c r="C424" s="1553" t="s">
        <v>1626</v>
      </c>
      <c r="D424" s="1554"/>
      <c r="E424" s="1554"/>
      <c r="F424" s="1554"/>
      <c r="G424" s="1555"/>
      <c r="H424" s="856" t="s">
        <v>970</v>
      </c>
      <c r="I424" s="859"/>
      <c r="J424" s="857"/>
      <c r="K424" s="858"/>
      <c r="L424" s="859"/>
      <c r="M424" s="857"/>
      <c r="N424" s="857"/>
      <c r="O424" s="857"/>
      <c r="P424" s="857"/>
      <c r="Q424" s="857"/>
      <c r="R424" s="857"/>
      <c r="S424" s="857"/>
      <c r="T424" s="857"/>
      <c r="U424" s="857"/>
      <c r="V424" s="857"/>
      <c r="W424" s="856"/>
    </row>
    <row r="425" spans="1:23" s="775" customFormat="1" ht="8.25" customHeight="1" x14ac:dyDescent="0.25">
      <c r="A425" s="1533" t="s">
        <v>1010</v>
      </c>
      <c r="B425" s="1534"/>
      <c r="C425" s="1535" t="s">
        <v>1627</v>
      </c>
      <c r="D425" s="1536"/>
      <c r="E425" s="1536"/>
      <c r="F425" s="1536"/>
      <c r="G425" s="1537"/>
      <c r="H425" s="856" t="s">
        <v>970</v>
      </c>
      <c r="I425" s="859"/>
      <c r="J425" s="857"/>
      <c r="K425" s="858"/>
      <c r="L425" s="859"/>
      <c r="M425" s="857"/>
      <c r="N425" s="857"/>
      <c r="O425" s="857"/>
      <c r="P425" s="857"/>
      <c r="Q425" s="857"/>
      <c r="R425" s="857"/>
      <c r="S425" s="857"/>
      <c r="T425" s="857"/>
      <c r="U425" s="857"/>
      <c r="V425" s="857"/>
      <c r="W425" s="856"/>
    </row>
    <row r="426" spans="1:23" s="775" customFormat="1" ht="8.25" customHeight="1" x14ac:dyDescent="0.25">
      <c r="A426" s="1533" t="s">
        <v>1012</v>
      </c>
      <c r="B426" s="1534"/>
      <c r="C426" s="1535" t="s">
        <v>1013</v>
      </c>
      <c r="D426" s="1536"/>
      <c r="E426" s="1536"/>
      <c r="F426" s="1536"/>
      <c r="G426" s="1537"/>
      <c r="H426" s="856" t="s">
        <v>970</v>
      </c>
      <c r="I426" s="859"/>
      <c r="J426" s="857"/>
      <c r="K426" s="858"/>
      <c r="L426" s="859"/>
      <c r="M426" s="857"/>
      <c r="N426" s="857"/>
      <c r="O426" s="857"/>
      <c r="P426" s="857"/>
      <c r="Q426" s="857"/>
      <c r="R426" s="857"/>
      <c r="S426" s="857"/>
      <c r="T426" s="857"/>
      <c r="U426" s="857"/>
      <c r="V426" s="857"/>
      <c r="W426" s="856"/>
    </row>
    <row r="427" spans="1:23" s="775" customFormat="1" ht="9" customHeight="1" x14ac:dyDescent="0.25">
      <c r="A427" s="1556" t="s">
        <v>1014</v>
      </c>
      <c r="B427" s="1557"/>
      <c r="C427" s="1558" t="s">
        <v>1015</v>
      </c>
      <c r="D427" s="1559"/>
      <c r="E427" s="1559"/>
      <c r="F427" s="1559"/>
      <c r="G427" s="1560"/>
      <c r="H427" s="860" t="s">
        <v>970</v>
      </c>
      <c r="I427" s="867"/>
      <c r="J427" s="865"/>
      <c r="K427" s="879"/>
      <c r="L427" s="880">
        <f t="shared" ref="L427:V427" si="112">L428</f>
        <v>0</v>
      </c>
      <c r="M427" s="881"/>
      <c r="N427" s="881">
        <f t="shared" si="112"/>
        <v>0</v>
      </c>
      <c r="O427" s="881"/>
      <c r="P427" s="881">
        <f t="shared" si="112"/>
        <v>0</v>
      </c>
      <c r="Q427" s="881"/>
      <c r="R427" s="881">
        <f t="shared" si="112"/>
        <v>0</v>
      </c>
      <c r="S427" s="881"/>
      <c r="T427" s="881">
        <f t="shared" si="112"/>
        <v>0</v>
      </c>
      <c r="U427" s="881"/>
      <c r="V427" s="881">
        <f t="shared" si="112"/>
        <v>0</v>
      </c>
      <c r="W427" s="882"/>
    </row>
    <row r="428" spans="1:23" s="775" customFormat="1" ht="9.75" x14ac:dyDescent="0.25">
      <c r="A428" s="1533" t="s">
        <v>1016</v>
      </c>
      <c r="B428" s="1534"/>
      <c r="C428" s="1541" t="s">
        <v>1017</v>
      </c>
      <c r="D428" s="1542"/>
      <c r="E428" s="1542"/>
      <c r="F428" s="1542"/>
      <c r="G428" s="1543"/>
      <c r="H428" s="860" t="s">
        <v>970</v>
      </c>
      <c r="I428" s="867"/>
      <c r="J428" s="865"/>
      <c r="K428" s="879"/>
      <c r="L428" s="880"/>
      <c r="M428" s="881"/>
      <c r="N428" s="881"/>
      <c r="O428" s="881"/>
      <c r="P428" s="881"/>
      <c r="Q428" s="881"/>
      <c r="R428" s="881"/>
      <c r="S428" s="881"/>
      <c r="T428" s="881"/>
      <c r="U428" s="881"/>
      <c r="V428" s="881"/>
      <c r="W428" s="860"/>
    </row>
    <row r="429" spans="1:23" s="775" customFormat="1" ht="8.25" customHeight="1" x14ac:dyDescent="0.25">
      <c r="A429" s="1533" t="s">
        <v>1018</v>
      </c>
      <c r="B429" s="1534"/>
      <c r="C429" s="1553" t="s">
        <v>1019</v>
      </c>
      <c r="D429" s="1554"/>
      <c r="E429" s="1554"/>
      <c r="F429" s="1554"/>
      <c r="G429" s="1555"/>
      <c r="H429" s="856" t="s">
        <v>970</v>
      </c>
      <c r="I429" s="859"/>
      <c r="J429" s="857"/>
      <c r="K429" s="858"/>
      <c r="L429" s="859"/>
      <c r="M429" s="857"/>
      <c r="N429" s="857"/>
      <c r="O429" s="857"/>
      <c r="P429" s="857"/>
      <c r="Q429" s="857"/>
      <c r="R429" s="857"/>
      <c r="S429" s="857"/>
      <c r="T429" s="857"/>
      <c r="U429" s="857"/>
      <c r="V429" s="857"/>
      <c r="W429" s="856"/>
    </row>
    <row r="430" spans="1:23" s="775" customFormat="1" x14ac:dyDescent="0.25">
      <c r="A430" s="1533" t="s">
        <v>1020</v>
      </c>
      <c r="B430" s="1534"/>
      <c r="C430" s="1553" t="s">
        <v>1628</v>
      </c>
      <c r="D430" s="1554"/>
      <c r="E430" s="1554"/>
      <c r="F430" s="1554"/>
      <c r="G430" s="1555"/>
      <c r="H430" s="856" t="s">
        <v>970</v>
      </c>
      <c r="I430" s="859"/>
      <c r="J430" s="857"/>
      <c r="K430" s="858"/>
      <c r="L430" s="859"/>
      <c r="M430" s="857"/>
      <c r="N430" s="857"/>
      <c r="O430" s="857"/>
      <c r="P430" s="857"/>
      <c r="Q430" s="857"/>
      <c r="R430" s="857"/>
      <c r="S430" s="857"/>
      <c r="T430" s="857"/>
      <c r="U430" s="857"/>
      <c r="V430" s="857"/>
      <c r="W430" s="856"/>
    </row>
    <row r="431" spans="1:23" s="775" customFormat="1" ht="8.25" customHeight="1" x14ac:dyDescent="0.25">
      <c r="A431" s="1533" t="s">
        <v>1022</v>
      </c>
      <c r="B431" s="1534"/>
      <c r="C431" s="1553" t="s">
        <v>1023</v>
      </c>
      <c r="D431" s="1554"/>
      <c r="E431" s="1554"/>
      <c r="F431" s="1554"/>
      <c r="G431" s="1555"/>
      <c r="H431" s="856" t="s">
        <v>970</v>
      </c>
      <c r="I431" s="859"/>
      <c r="J431" s="857"/>
      <c r="K431" s="858"/>
      <c r="L431" s="859"/>
      <c r="M431" s="857"/>
      <c r="N431" s="857"/>
      <c r="O431" s="857"/>
      <c r="P431" s="857"/>
      <c r="Q431" s="857"/>
      <c r="R431" s="857"/>
      <c r="S431" s="857"/>
      <c r="T431" s="857"/>
      <c r="U431" s="857"/>
      <c r="V431" s="857"/>
      <c r="W431" s="856"/>
    </row>
    <row r="432" spans="1:23" s="775" customFormat="1" ht="8.25" customHeight="1" x14ac:dyDescent="0.25">
      <c r="A432" s="1533" t="s">
        <v>1024</v>
      </c>
      <c r="B432" s="1534"/>
      <c r="C432" s="1553" t="s">
        <v>1025</v>
      </c>
      <c r="D432" s="1554"/>
      <c r="E432" s="1554"/>
      <c r="F432" s="1554"/>
      <c r="G432" s="1555"/>
      <c r="H432" s="856" t="s">
        <v>970</v>
      </c>
      <c r="I432" s="859"/>
      <c r="J432" s="857"/>
      <c r="K432" s="858"/>
      <c r="L432" s="859"/>
      <c r="M432" s="857"/>
      <c r="N432" s="857"/>
      <c r="O432" s="857"/>
      <c r="P432" s="857"/>
      <c r="Q432" s="857"/>
      <c r="R432" s="857"/>
      <c r="S432" s="857"/>
      <c r="T432" s="857"/>
      <c r="U432" s="857"/>
      <c r="V432" s="857"/>
      <c r="W432" s="856"/>
    </row>
    <row r="433" spans="1:23" s="775" customFormat="1" ht="8.25" customHeight="1" x14ac:dyDescent="0.25">
      <c r="A433" s="1533" t="s">
        <v>1026</v>
      </c>
      <c r="B433" s="1534"/>
      <c r="C433" s="1535" t="s">
        <v>1027</v>
      </c>
      <c r="D433" s="1536"/>
      <c r="E433" s="1536"/>
      <c r="F433" s="1536"/>
      <c r="G433" s="1537"/>
      <c r="H433" s="856" t="s">
        <v>970</v>
      </c>
      <c r="I433" s="859"/>
      <c r="J433" s="857"/>
      <c r="K433" s="858"/>
      <c r="L433" s="859"/>
      <c r="M433" s="857"/>
      <c r="N433" s="857"/>
      <c r="O433" s="857"/>
      <c r="P433" s="857"/>
      <c r="Q433" s="857"/>
      <c r="R433" s="857"/>
      <c r="S433" s="857"/>
      <c r="T433" s="857"/>
      <c r="U433" s="857"/>
      <c r="V433" s="857"/>
      <c r="W433" s="856"/>
    </row>
    <row r="434" spans="1:23" s="775" customFormat="1" ht="16.5" customHeight="1" x14ac:dyDescent="0.25">
      <c r="A434" s="1533" t="s">
        <v>1629</v>
      </c>
      <c r="B434" s="1534"/>
      <c r="C434" s="1538" t="s">
        <v>1029</v>
      </c>
      <c r="D434" s="1539"/>
      <c r="E434" s="1539"/>
      <c r="F434" s="1539"/>
      <c r="G434" s="1540"/>
      <c r="H434" s="856" t="s">
        <v>970</v>
      </c>
      <c r="I434" s="859"/>
      <c r="J434" s="857"/>
      <c r="K434" s="858"/>
      <c r="L434" s="859"/>
      <c r="M434" s="857"/>
      <c r="N434" s="857"/>
      <c r="O434" s="857"/>
      <c r="P434" s="857"/>
      <c r="Q434" s="857"/>
      <c r="R434" s="857"/>
      <c r="S434" s="857"/>
      <c r="T434" s="857"/>
      <c r="U434" s="857"/>
      <c r="V434" s="857"/>
      <c r="W434" s="856"/>
    </row>
    <row r="435" spans="1:23" s="775" customFormat="1" ht="8.25" customHeight="1" x14ac:dyDescent="0.25">
      <c r="A435" s="1533" t="s">
        <v>1028</v>
      </c>
      <c r="B435" s="1534"/>
      <c r="C435" s="1535" t="s">
        <v>1312</v>
      </c>
      <c r="D435" s="1536"/>
      <c r="E435" s="1536"/>
      <c r="F435" s="1536"/>
      <c r="G435" s="1537"/>
      <c r="H435" s="856" t="s">
        <v>970</v>
      </c>
      <c r="I435" s="859"/>
      <c r="J435" s="857"/>
      <c r="K435" s="858"/>
      <c r="L435" s="859"/>
      <c r="M435" s="857"/>
      <c r="N435" s="857"/>
      <c r="O435" s="857"/>
      <c r="P435" s="857"/>
      <c r="Q435" s="857"/>
      <c r="R435" s="857"/>
      <c r="S435" s="857"/>
      <c r="T435" s="857"/>
      <c r="U435" s="857"/>
      <c r="V435" s="857"/>
      <c r="W435" s="856"/>
    </row>
    <row r="436" spans="1:23" s="775" customFormat="1" ht="16.5" customHeight="1" x14ac:dyDescent="0.25">
      <c r="A436" s="1533" t="s">
        <v>1630</v>
      </c>
      <c r="B436" s="1534"/>
      <c r="C436" s="1538" t="s">
        <v>1631</v>
      </c>
      <c r="D436" s="1539"/>
      <c r="E436" s="1539"/>
      <c r="F436" s="1539"/>
      <c r="G436" s="1540"/>
      <c r="H436" s="856" t="s">
        <v>970</v>
      </c>
      <c r="I436" s="859"/>
      <c r="J436" s="857"/>
      <c r="K436" s="858"/>
      <c r="L436" s="859"/>
      <c r="M436" s="857"/>
      <c r="N436" s="857"/>
      <c r="O436" s="857"/>
      <c r="P436" s="857"/>
      <c r="Q436" s="857"/>
      <c r="R436" s="857"/>
      <c r="S436" s="857"/>
      <c r="T436" s="857"/>
      <c r="U436" s="857"/>
      <c r="V436" s="857"/>
      <c r="W436" s="856"/>
    </row>
    <row r="437" spans="1:23" s="775" customFormat="1" ht="8.25" customHeight="1" x14ac:dyDescent="0.25">
      <c r="A437" s="1533" t="s">
        <v>1034</v>
      </c>
      <c r="B437" s="1534"/>
      <c r="C437" s="1553" t="s">
        <v>1037</v>
      </c>
      <c r="D437" s="1554"/>
      <c r="E437" s="1554"/>
      <c r="F437" s="1554"/>
      <c r="G437" s="1555"/>
      <c r="H437" s="856" t="s">
        <v>970</v>
      </c>
      <c r="I437" s="859"/>
      <c r="J437" s="857"/>
      <c r="K437" s="858"/>
      <c r="L437" s="859"/>
      <c r="M437" s="857"/>
      <c r="N437" s="857"/>
      <c r="O437" s="857"/>
      <c r="P437" s="857"/>
      <c r="Q437" s="857"/>
      <c r="R437" s="857"/>
      <c r="S437" s="857"/>
      <c r="T437" s="857"/>
      <c r="U437" s="857"/>
      <c r="V437" s="857"/>
      <c r="W437" s="856"/>
    </row>
    <row r="438" spans="1:23" s="775" customFormat="1" ht="9" customHeight="1" thickBot="1" x14ac:dyDescent="0.3">
      <c r="A438" s="1561" t="s">
        <v>1036</v>
      </c>
      <c r="B438" s="1562"/>
      <c r="C438" s="1563" t="s">
        <v>1039</v>
      </c>
      <c r="D438" s="1564"/>
      <c r="E438" s="1564"/>
      <c r="F438" s="1564"/>
      <c r="G438" s="1565"/>
      <c r="H438" s="883" t="s">
        <v>970</v>
      </c>
      <c r="I438" s="884"/>
      <c r="J438" s="885"/>
      <c r="K438" s="886"/>
      <c r="L438" s="884"/>
      <c r="M438" s="885"/>
      <c r="N438" s="885"/>
      <c r="O438" s="885"/>
      <c r="P438" s="885"/>
      <c r="Q438" s="885"/>
      <c r="R438" s="885"/>
      <c r="S438" s="885"/>
      <c r="T438" s="885"/>
      <c r="U438" s="885"/>
      <c r="V438" s="885"/>
      <c r="W438" s="883"/>
    </row>
    <row r="439" spans="1:23" s="775" customFormat="1" ht="9.75" customHeight="1" x14ac:dyDescent="0.25">
      <c r="A439" s="1566" t="s">
        <v>1174</v>
      </c>
      <c r="B439" s="1567"/>
      <c r="C439" s="1568" t="s">
        <v>1167</v>
      </c>
      <c r="D439" s="1569"/>
      <c r="E439" s="1569"/>
      <c r="F439" s="1569"/>
      <c r="G439" s="1570"/>
      <c r="H439" s="887" t="s">
        <v>830</v>
      </c>
      <c r="I439" s="888">
        <f>I442</f>
        <v>0</v>
      </c>
      <c r="J439" s="888">
        <f t="shared" ref="J439:W439" si="113">J442</f>
        <v>0</v>
      </c>
      <c r="K439" s="902">
        <f t="shared" si="113"/>
        <v>0</v>
      </c>
      <c r="L439" s="902">
        <f t="shared" si="113"/>
        <v>0</v>
      </c>
      <c r="M439" s="906">
        <f t="shared" si="113"/>
        <v>0</v>
      </c>
      <c r="N439" s="906">
        <f t="shared" si="113"/>
        <v>0</v>
      </c>
      <c r="O439" s="906">
        <f t="shared" si="113"/>
        <v>0</v>
      </c>
      <c r="P439" s="906">
        <f t="shared" si="113"/>
        <v>0</v>
      </c>
      <c r="Q439" s="906">
        <f t="shared" si="113"/>
        <v>0</v>
      </c>
      <c r="R439" s="906">
        <f>R442</f>
        <v>0</v>
      </c>
      <c r="S439" s="906">
        <f>S442</f>
        <v>0</v>
      </c>
      <c r="T439" s="906">
        <f>T442</f>
        <v>0</v>
      </c>
      <c r="U439" s="906">
        <f>U442</f>
        <v>0</v>
      </c>
      <c r="V439" s="906">
        <f t="shared" si="113"/>
        <v>0</v>
      </c>
      <c r="W439" s="905">
        <f t="shared" si="113"/>
        <v>0</v>
      </c>
    </row>
    <row r="440" spans="1:23" s="775" customFormat="1" ht="24.75" customHeight="1" x14ac:dyDescent="0.25">
      <c r="A440" s="1533" t="s">
        <v>1176</v>
      </c>
      <c r="B440" s="1534"/>
      <c r="C440" s="1553" t="s">
        <v>1632</v>
      </c>
      <c r="D440" s="1554"/>
      <c r="E440" s="1554"/>
      <c r="F440" s="1554"/>
      <c r="G440" s="1555"/>
      <c r="H440" s="856" t="s">
        <v>970</v>
      </c>
      <c r="I440" s="859"/>
      <c r="J440" s="857"/>
      <c r="K440" s="858"/>
      <c r="L440" s="859"/>
      <c r="M440" s="857"/>
      <c r="N440" s="857"/>
      <c r="O440" s="857"/>
      <c r="P440" s="857"/>
      <c r="Q440" s="857"/>
      <c r="R440" s="857"/>
      <c r="S440" s="857"/>
      <c r="T440" s="857"/>
      <c r="U440" s="857"/>
      <c r="V440" s="857"/>
      <c r="W440" s="856"/>
    </row>
    <row r="441" spans="1:23" s="775" customFormat="1" ht="8.25" customHeight="1" x14ac:dyDescent="0.25">
      <c r="A441" s="1533" t="s">
        <v>1177</v>
      </c>
      <c r="B441" s="1534"/>
      <c r="C441" s="1535" t="s">
        <v>1633</v>
      </c>
      <c r="D441" s="1536"/>
      <c r="E441" s="1536"/>
      <c r="F441" s="1536"/>
      <c r="G441" s="1537"/>
      <c r="H441" s="856" t="s">
        <v>970</v>
      </c>
      <c r="I441" s="859"/>
      <c r="J441" s="857"/>
      <c r="K441" s="858"/>
      <c r="L441" s="859"/>
      <c r="M441" s="857"/>
      <c r="N441" s="857"/>
      <c r="O441" s="857"/>
      <c r="P441" s="857"/>
      <c r="Q441" s="857"/>
      <c r="R441" s="857"/>
      <c r="S441" s="857"/>
      <c r="T441" s="857"/>
      <c r="U441" s="857"/>
      <c r="V441" s="857"/>
      <c r="W441" s="856"/>
    </row>
    <row r="442" spans="1:23" s="775" customFormat="1" ht="16.5" customHeight="1" x14ac:dyDescent="0.25">
      <c r="A442" s="1533" t="s">
        <v>1178</v>
      </c>
      <c r="B442" s="1534"/>
      <c r="C442" s="1535" t="s">
        <v>1634</v>
      </c>
      <c r="D442" s="1536"/>
      <c r="E442" s="1536"/>
      <c r="F442" s="1536"/>
      <c r="G442" s="1537"/>
      <c r="H442" s="856" t="s">
        <v>970</v>
      </c>
      <c r="I442" s="889"/>
      <c r="J442" s="890"/>
      <c r="K442" s="903"/>
      <c r="L442" s="904"/>
      <c r="M442" s="891"/>
      <c r="N442" s="891"/>
      <c r="O442" s="857"/>
      <c r="P442" s="857"/>
      <c r="Q442" s="857"/>
      <c r="R442" s="857"/>
      <c r="S442" s="857"/>
      <c r="T442" s="857"/>
      <c r="U442" s="857"/>
      <c r="V442" s="857"/>
      <c r="W442" s="856"/>
    </row>
    <row r="443" spans="1:23" s="775" customFormat="1" x14ac:dyDescent="0.25">
      <c r="A443" s="1533" t="s">
        <v>1179</v>
      </c>
      <c r="B443" s="1534"/>
      <c r="C443" s="1535" t="s">
        <v>1635</v>
      </c>
      <c r="D443" s="1536"/>
      <c r="E443" s="1536"/>
      <c r="F443" s="1536"/>
      <c r="G443" s="1537"/>
      <c r="H443" s="856" t="s">
        <v>970</v>
      </c>
      <c r="I443" s="859"/>
      <c r="J443" s="857"/>
      <c r="K443" s="858"/>
      <c r="L443" s="859"/>
      <c r="M443" s="857"/>
      <c r="N443" s="857"/>
      <c r="O443" s="857"/>
      <c r="P443" s="857"/>
      <c r="Q443" s="857"/>
      <c r="R443" s="857"/>
      <c r="S443" s="857"/>
      <c r="T443" s="857"/>
      <c r="U443" s="857"/>
      <c r="V443" s="857"/>
      <c r="W443" s="856"/>
    </row>
    <row r="444" spans="1:23" s="775" customFormat="1" ht="17.25" customHeight="1" x14ac:dyDescent="0.25">
      <c r="A444" s="1533" t="s">
        <v>1180</v>
      </c>
      <c r="B444" s="1534"/>
      <c r="C444" s="1553" t="s">
        <v>1636</v>
      </c>
      <c r="D444" s="1554"/>
      <c r="E444" s="1554"/>
      <c r="F444" s="1554"/>
      <c r="G444" s="1555"/>
      <c r="H444" s="856" t="s">
        <v>830</v>
      </c>
      <c r="I444" s="859"/>
      <c r="J444" s="857"/>
      <c r="K444" s="858"/>
      <c r="L444" s="859"/>
      <c r="M444" s="857"/>
      <c r="N444" s="857"/>
      <c r="O444" s="857"/>
      <c r="P444" s="857"/>
      <c r="Q444" s="857"/>
      <c r="R444" s="857"/>
      <c r="S444" s="857"/>
      <c r="T444" s="857"/>
      <c r="U444" s="857"/>
      <c r="V444" s="857"/>
      <c r="W444" s="856"/>
    </row>
    <row r="445" spans="1:23" s="775" customFormat="1" ht="8.25" customHeight="1" x14ac:dyDescent="0.25">
      <c r="A445" s="1533" t="s">
        <v>1637</v>
      </c>
      <c r="B445" s="1534"/>
      <c r="C445" s="1535" t="s">
        <v>1638</v>
      </c>
      <c r="D445" s="1536"/>
      <c r="E445" s="1536"/>
      <c r="F445" s="1536"/>
      <c r="G445" s="1537"/>
      <c r="H445" s="856" t="s">
        <v>970</v>
      </c>
      <c r="I445" s="859"/>
      <c r="J445" s="857"/>
      <c r="K445" s="858"/>
      <c r="L445" s="859"/>
      <c r="M445" s="857"/>
      <c r="N445" s="857"/>
      <c r="O445" s="857"/>
      <c r="P445" s="857"/>
      <c r="Q445" s="857"/>
      <c r="R445" s="857"/>
      <c r="S445" s="857"/>
      <c r="T445" s="857"/>
      <c r="U445" s="857"/>
      <c r="V445" s="857"/>
      <c r="W445" s="856"/>
    </row>
    <row r="446" spans="1:23" s="775" customFormat="1" ht="8.25" customHeight="1" x14ac:dyDescent="0.25">
      <c r="A446" s="1533" t="s">
        <v>1639</v>
      </c>
      <c r="B446" s="1534"/>
      <c r="C446" s="1535" t="s">
        <v>1640</v>
      </c>
      <c r="D446" s="1536"/>
      <c r="E446" s="1536"/>
      <c r="F446" s="1536"/>
      <c r="G446" s="1537"/>
      <c r="H446" s="856" t="s">
        <v>970</v>
      </c>
      <c r="I446" s="859"/>
      <c r="J446" s="857"/>
      <c r="K446" s="858"/>
      <c r="L446" s="859"/>
      <c r="M446" s="857"/>
      <c r="N446" s="857"/>
      <c r="O446" s="857"/>
      <c r="P446" s="857"/>
      <c r="Q446" s="857"/>
      <c r="R446" s="857"/>
      <c r="S446" s="857"/>
      <c r="T446" s="857"/>
      <c r="U446" s="857"/>
      <c r="V446" s="857"/>
      <c r="W446" s="856"/>
    </row>
    <row r="447" spans="1:23" s="775" customFormat="1" ht="9" customHeight="1" thickBot="1" x14ac:dyDescent="0.3">
      <c r="A447" s="1561" t="s">
        <v>1641</v>
      </c>
      <c r="B447" s="1562"/>
      <c r="C447" s="1571" t="s">
        <v>1642</v>
      </c>
      <c r="D447" s="1572"/>
      <c r="E447" s="1572"/>
      <c r="F447" s="1572"/>
      <c r="G447" s="1573"/>
      <c r="H447" s="892" t="s">
        <v>970</v>
      </c>
      <c r="I447" s="884"/>
      <c r="J447" s="885"/>
      <c r="K447" s="886"/>
      <c r="L447" s="884"/>
      <c r="M447" s="885"/>
      <c r="N447" s="885"/>
      <c r="O447" s="885"/>
      <c r="P447" s="885"/>
      <c r="Q447" s="885"/>
      <c r="R447" s="885"/>
      <c r="S447" s="885"/>
      <c r="T447" s="885"/>
      <c r="U447" s="885"/>
      <c r="V447" s="885"/>
      <c r="W447" s="883"/>
    </row>
    <row r="448" spans="1:23" s="894" customFormat="1" ht="12" customHeight="1" x14ac:dyDescent="0.15">
      <c r="A448" s="893"/>
      <c r="B448" s="893"/>
      <c r="C448" s="893"/>
    </row>
    <row r="449" spans="1:1" s="637" customFormat="1" ht="9.75" x14ac:dyDescent="0.2">
      <c r="A449" s="895" t="s">
        <v>1643</v>
      </c>
    </row>
    <row r="450" spans="1:1" s="637" customFormat="1" ht="9" customHeight="1" x14ac:dyDescent="0.15">
      <c r="A450" s="895" t="s">
        <v>1644</v>
      </c>
    </row>
    <row r="451" spans="1:1" s="637" customFormat="1" ht="9" customHeight="1" x14ac:dyDescent="0.15">
      <c r="A451" s="895" t="s">
        <v>1645</v>
      </c>
    </row>
    <row r="452" spans="1:1" s="637" customFormat="1" ht="9" customHeight="1" x14ac:dyDescent="0.15">
      <c r="A452" s="895" t="s">
        <v>1646</v>
      </c>
    </row>
    <row r="453" spans="1:1" s="637" customFormat="1" ht="9" customHeight="1" x14ac:dyDescent="0.15">
      <c r="A453" s="895" t="s">
        <v>1647</v>
      </c>
    </row>
    <row r="454" spans="1:1" s="637" customFormat="1" ht="9" customHeight="1" x14ac:dyDescent="0.15">
      <c r="A454" s="895" t="s">
        <v>1648</v>
      </c>
    </row>
    <row r="455" spans="1:1" s="637" customFormat="1" x14ac:dyDescent="0.15">
      <c r="A455" s="895" t="s">
        <v>1649</v>
      </c>
    </row>
    <row r="456" spans="1:1" s="637" customFormat="1" x14ac:dyDescent="0.15">
      <c r="A456" s="895" t="s">
        <v>1650</v>
      </c>
    </row>
    <row r="457" spans="1:1" s="637" customFormat="1" x14ac:dyDescent="0.15">
      <c r="A457" s="895" t="s">
        <v>1651</v>
      </c>
    </row>
  </sheetData>
  <mergeCells count="873">
    <mergeCell ref="A446:B446"/>
    <mergeCell ref="C446:G446"/>
    <mergeCell ref="A447:B447"/>
    <mergeCell ref="C447:G447"/>
    <mergeCell ref="A443:B443"/>
    <mergeCell ref="C443:G443"/>
    <mergeCell ref="A444:B444"/>
    <mergeCell ref="C444:G444"/>
    <mergeCell ref="A445:B445"/>
    <mergeCell ref="C445:G445"/>
    <mergeCell ref="A440:B440"/>
    <mergeCell ref="C440:G440"/>
    <mergeCell ref="A441:B441"/>
    <mergeCell ref="C441:G441"/>
    <mergeCell ref="A442:B442"/>
    <mergeCell ref="C442:G442"/>
    <mergeCell ref="A437:B437"/>
    <mergeCell ref="C437:G437"/>
    <mergeCell ref="A438:B438"/>
    <mergeCell ref="C438:G438"/>
    <mergeCell ref="A439:B439"/>
    <mergeCell ref="C439:G439"/>
    <mergeCell ref="A434:B434"/>
    <mergeCell ref="C434:G434"/>
    <mergeCell ref="A435:B435"/>
    <mergeCell ref="C435:G435"/>
    <mergeCell ref="A436:B436"/>
    <mergeCell ref="C436:G436"/>
    <mergeCell ref="A431:B431"/>
    <mergeCell ref="C431:G431"/>
    <mergeCell ref="A432:B432"/>
    <mergeCell ref="C432:G432"/>
    <mergeCell ref="A433:B433"/>
    <mergeCell ref="C433:G433"/>
    <mergeCell ref="A428:B428"/>
    <mergeCell ref="C428:G428"/>
    <mergeCell ref="A429:B429"/>
    <mergeCell ref="C429:G429"/>
    <mergeCell ref="A430:B430"/>
    <mergeCell ref="C430:G430"/>
    <mergeCell ref="A425:B425"/>
    <mergeCell ref="C425:G425"/>
    <mergeCell ref="A426:B426"/>
    <mergeCell ref="C426:G426"/>
    <mergeCell ref="A427:B427"/>
    <mergeCell ref="C427:G427"/>
    <mergeCell ref="A422:B422"/>
    <mergeCell ref="C422:G422"/>
    <mergeCell ref="A423:B423"/>
    <mergeCell ref="C423:G423"/>
    <mergeCell ref="A424:B424"/>
    <mergeCell ref="C424:G424"/>
    <mergeCell ref="A419:B419"/>
    <mergeCell ref="C419:G419"/>
    <mergeCell ref="A420:B420"/>
    <mergeCell ref="C420:G420"/>
    <mergeCell ref="A421:B421"/>
    <mergeCell ref="C421:G421"/>
    <mergeCell ref="A416:B416"/>
    <mergeCell ref="C416:G416"/>
    <mergeCell ref="A417:B417"/>
    <mergeCell ref="C417:G417"/>
    <mergeCell ref="A418:B418"/>
    <mergeCell ref="C418:G418"/>
    <mergeCell ref="A413:B413"/>
    <mergeCell ref="C413:G413"/>
    <mergeCell ref="A414:B414"/>
    <mergeCell ref="C414:G414"/>
    <mergeCell ref="A415:B415"/>
    <mergeCell ref="C415:G415"/>
    <mergeCell ref="A410:B410"/>
    <mergeCell ref="C410:G410"/>
    <mergeCell ref="A411:B411"/>
    <mergeCell ref="C411:G411"/>
    <mergeCell ref="A412:B412"/>
    <mergeCell ref="C412:G412"/>
    <mergeCell ref="A407:B407"/>
    <mergeCell ref="C407:G407"/>
    <mergeCell ref="A408:B408"/>
    <mergeCell ref="C408:G408"/>
    <mergeCell ref="A409:B409"/>
    <mergeCell ref="C409:G409"/>
    <mergeCell ref="A404:B404"/>
    <mergeCell ref="C404:G404"/>
    <mergeCell ref="A405:B405"/>
    <mergeCell ref="C405:G405"/>
    <mergeCell ref="A406:B406"/>
    <mergeCell ref="C406:G406"/>
    <mergeCell ref="A401:B401"/>
    <mergeCell ref="C401:G401"/>
    <mergeCell ref="A402:B402"/>
    <mergeCell ref="C402:G402"/>
    <mergeCell ref="A403:B403"/>
    <mergeCell ref="C403:G403"/>
    <mergeCell ref="A398:B398"/>
    <mergeCell ref="C398:G398"/>
    <mergeCell ref="A399:B399"/>
    <mergeCell ref="C399:G399"/>
    <mergeCell ref="A400:B400"/>
    <mergeCell ref="C400:G400"/>
    <mergeCell ref="A395:B395"/>
    <mergeCell ref="C395:G395"/>
    <mergeCell ref="A396:B396"/>
    <mergeCell ref="C396:G396"/>
    <mergeCell ref="A397:B397"/>
    <mergeCell ref="C397:G397"/>
    <mergeCell ref="A392:B392"/>
    <mergeCell ref="C392:G392"/>
    <mergeCell ref="A393:B393"/>
    <mergeCell ref="C393:G393"/>
    <mergeCell ref="A394:B394"/>
    <mergeCell ref="C394:G394"/>
    <mergeCell ref="A389:B389"/>
    <mergeCell ref="C389:G389"/>
    <mergeCell ref="A390:B390"/>
    <mergeCell ref="C390:G390"/>
    <mergeCell ref="A391:B391"/>
    <mergeCell ref="C391:G391"/>
    <mergeCell ref="A386:B386"/>
    <mergeCell ref="C386:G386"/>
    <mergeCell ref="A387:B387"/>
    <mergeCell ref="C387:G387"/>
    <mergeCell ref="A388:B388"/>
    <mergeCell ref="C388:G388"/>
    <mergeCell ref="A383:B383"/>
    <mergeCell ref="C383:G383"/>
    <mergeCell ref="A384:B384"/>
    <mergeCell ref="C384:G384"/>
    <mergeCell ref="A385:B385"/>
    <mergeCell ref="C385:G385"/>
    <mergeCell ref="A380:B380"/>
    <mergeCell ref="C380:G380"/>
    <mergeCell ref="A381:B381"/>
    <mergeCell ref="C381:G381"/>
    <mergeCell ref="A382:B382"/>
    <mergeCell ref="C382:G382"/>
    <mergeCell ref="A377:B377"/>
    <mergeCell ref="C377:G377"/>
    <mergeCell ref="A378:B378"/>
    <mergeCell ref="C378:G378"/>
    <mergeCell ref="A379:B379"/>
    <mergeCell ref="C379:G379"/>
    <mergeCell ref="A374:B374"/>
    <mergeCell ref="C374:G374"/>
    <mergeCell ref="A375:B375"/>
    <mergeCell ref="C375:G375"/>
    <mergeCell ref="A376:B376"/>
    <mergeCell ref="C376:G376"/>
    <mergeCell ref="A371:B371"/>
    <mergeCell ref="C371:G371"/>
    <mergeCell ref="A372:B372"/>
    <mergeCell ref="C372:G372"/>
    <mergeCell ref="A373:B373"/>
    <mergeCell ref="C373:G373"/>
    <mergeCell ref="T366:U366"/>
    <mergeCell ref="V366:W366"/>
    <mergeCell ref="A368:B368"/>
    <mergeCell ref="C368:G368"/>
    <mergeCell ref="A369:G369"/>
    <mergeCell ref="A370:B370"/>
    <mergeCell ref="C370:G370"/>
    <mergeCell ref="A364:B364"/>
    <mergeCell ref="C364:G364"/>
    <mergeCell ref="A365:W365"/>
    <mergeCell ref="A366:B367"/>
    <mergeCell ref="C366:G367"/>
    <mergeCell ref="H366:H367"/>
    <mergeCell ref="L366:M366"/>
    <mergeCell ref="N366:O366"/>
    <mergeCell ref="P366:Q366"/>
    <mergeCell ref="R366:S366"/>
    <mergeCell ref="A361:B361"/>
    <mergeCell ref="C361:G361"/>
    <mergeCell ref="A362:B362"/>
    <mergeCell ref="C362:G362"/>
    <mergeCell ref="A363:B363"/>
    <mergeCell ref="C363:G363"/>
    <mergeCell ref="A358:B358"/>
    <mergeCell ref="C358:G358"/>
    <mergeCell ref="A359:B359"/>
    <mergeCell ref="C359:G359"/>
    <mergeCell ref="A360:B360"/>
    <mergeCell ref="C360:G360"/>
    <mergeCell ref="A355:B355"/>
    <mergeCell ref="C355:G355"/>
    <mergeCell ref="A356:B356"/>
    <mergeCell ref="C356:G356"/>
    <mergeCell ref="A357:B357"/>
    <mergeCell ref="C357:G357"/>
    <mergeCell ref="A352:B352"/>
    <mergeCell ref="C352:G352"/>
    <mergeCell ref="A353:B353"/>
    <mergeCell ref="C353:G353"/>
    <mergeCell ref="A354:B354"/>
    <mergeCell ref="C354:G354"/>
    <mergeCell ref="A349:B349"/>
    <mergeCell ref="C349:G349"/>
    <mergeCell ref="A350:B350"/>
    <mergeCell ref="C350:G350"/>
    <mergeCell ref="A351:B351"/>
    <mergeCell ref="C351:G351"/>
    <mergeCell ref="A346:B346"/>
    <mergeCell ref="C346:G346"/>
    <mergeCell ref="A347:B347"/>
    <mergeCell ref="C347:G347"/>
    <mergeCell ref="A348:B348"/>
    <mergeCell ref="C348:G348"/>
    <mergeCell ref="A343:B343"/>
    <mergeCell ref="C343:G343"/>
    <mergeCell ref="A344:B344"/>
    <mergeCell ref="C344:G344"/>
    <mergeCell ref="A345:B345"/>
    <mergeCell ref="C345:G345"/>
    <mergeCell ref="A340:B340"/>
    <mergeCell ref="C340:G340"/>
    <mergeCell ref="A341:B341"/>
    <mergeCell ref="C341:G341"/>
    <mergeCell ref="A342:B342"/>
    <mergeCell ref="C342:G342"/>
    <mergeCell ref="A337:B337"/>
    <mergeCell ref="C337:G337"/>
    <mergeCell ref="A338:B338"/>
    <mergeCell ref="C338:G338"/>
    <mergeCell ref="A339:B339"/>
    <mergeCell ref="C339:G339"/>
    <mergeCell ref="A334:B334"/>
    <mergeCell ref="C334:G334"/>
    <mergeCell ref="A335:B335"/>
    <mergeCell ref="C335:G335"/>
    <mergeCell ref="A336:B336"/>
    <mergeCell ref="C336:G336"/>
    <mergeCell ref="A331:B331"/>
    <mergeCell ref="C331:G331"/>
    <mergeCell ref="A332:B332"/>
    <mergeCell ref="C332:G332"/>
    <mergeCell ref="A333:B333"/>
    <mergeCell ref="C333:G333"/>
    <mergeCell ref="A328:B328"/>
    <mergeCell ref="C328:G328"/>
    <mergeCell ref="A329:B329"/>
    <mergeCell ref="C329:G329"/>
    <mergeCell ref="A330:B330"/>
    <mergeCell ref="C330:G330"/>
    <mergeCell ref="A325:B325"/>
    <mergeCell ref="C325:G325"/>
    <mergeCell ref="A326:B326"/>
    <mergeCell ref="C326:G326"/>
    <mergeCell ref="A327:B327"/>
    <mergeCell ref="C327:G327"/>
    <mergeCell ref="A322:B322"/>
    <mergeCell ref="C322:G322"/>
    <mergeCell ref="A323:B323"/>
    <mergeCell ref="C323:G323"/>
    <mergeCell ref="A324:B324"/>
    <mergeCell ref="C324:G324"/>
    <mergeCell ref="A319:B319"/>
    <mergeCell ref="C319:G319"/>
    <mergeCell ref="A320:B320"/>
    <mergeCell ref="C320:G320"/>
    <mergeCell ref="A321:B321"/>
    <mergeCell ref="C321:G321"/>
    <mergeCell ref="A315:W315"/>
    <mergeCell ref="A316:B316"/>
    <mergeCell ref="C316:G316"/>
    <mergeCell ref="A317:B317"/>
    <mergeCell ref="C317:G317"/>
    <mergeCell ref="A318:B318"/>
    <mergeCell ref="C318:G318"/>
    <mergeCell ref="A312:B312"/>
    <mergeCell ref="C312:G312"/>
    <mergeCell ref="A313:B313"/>
    <mergeCell ref="C313:G313"/>
    <mergeCell ref="A314:B314"/>
    <mergeCell ref="C314:G314"/>
    <mergeCell ref="A309:B309"/>
    <mergeCell ref="C309:G309"/>
    <mergeCell ref="A310:B310"/>
    <mergeCell ref="C310:G310"/>
    <mergeCell ref="A311:B311"/>
    <mergeCell ref="C311:G311"/>
    <mergeCell ref="A306:B306"/>
    <mergeCell ref="C306:G306"/>
    <mergeCell ref="A307:B307"/>
    <mergeCell ref="C307:G307"/>
    <mergeCell ref="A308:B308"/>
    <mergeCell ref="C308:G308"/>
    <mergeCell ref="A303:B303"/>
    <mergeCell ref="C303:G303"/>
    <mergeCell ref="A304:B304"/>
    <mergeCell ref="C304:G304"/>
    <mergeCell ref="A305:B305"/>
    <mergeCell ref="C305:G305"/>
    <mergeCell ref="A300:B300"/>
    <mergeCell ref="C300:G300"/>
    <mergeCell ref="A301:B301"/>
    <mergeCell ref="C301:G301"/>
    <mergeCell ref="A302:B302"/>
    <mergeCell ref="C302:G302"/>
    <mergeCell ref="A297:B297"/>
    <mergeCell ref="C297:G297"/>
    <mergeCell ref="A298:B298"/>
    <mergeCell ref="C298:G298"/>
    <mergeCell ref="A299:B299"/>
    <mergeCell ref="C299:G299"/>
    <mergeCell ref="A294:B294"/>
    <mergeCell ref="C294:G294"/>
    <mergeCell ref="A295:B295"/>
    <mergeCell ref="C295:G295"/>
    <mergeCell ref="A296:B296"/>
    <mergeCell ref="C296:G296"/>
    <mergeCell ref="A291:B291"/>
    <mergeCell ref="C291:G291"/>
    <mergeCell ref="A292:B292"/>
    <mergeCell ref="C292:G292"/>
    <mergeCell ref="A293:B293"/>
    <mergeCell ref="C293:G293"/>
    <mergeCell ref="A288:B288"/>
    <mergeCell ref="C288:G288"/>
    <mergeCell ref="A289:B289"/>
    <mergeCell ref="C289:G289"/>
    <mergeCell ref="A290:B290"/>
    <mergeCell ref="C290:G290"/>
    <mergeCell ref="A285:B285"/>
    <mergeCell ref="C285:G285"/>
    <mergeCell ref="A286:B286"/>
    <mergeCell ref="C286:G286"/>
    <mergeCell ref="A287:B287"/>
    <mergeCell ref="C287:G287"/>
    <mergeCell ref="A282:B282"/>
    <mergeCell ref="C282:G282"/>
    <mergeCell ref="A283:B283"/>
    <mergeCell ref="C283:G283"/>
    <mergeCell ref="A284:B284"/>
    <mergeCell ref="C284:G284"/>
    <mergeCell ref="A279:B279"/>
    <mergeCell ref="C279:G279"/>
    <mergeCell ref="A280:B280"/>
    <mergeCell ref="C280:G280"/>
    <mergeCell ref="A281:B281"/>
    <mergeCell ref="C281:G281"/>
    <mergeCell ref="A276:B276"/>
    <mergeCell ref="C276:G276"/>
    <mergeCell ref="A277:B277"/>
    <mergeCell ref="C277:G277"/>
    <mergeCell ref="A278:B278"/>
    <mergeCell ref="C278:G278"/>
    <mergeCell ref="A273:B273"/>
    <mergeCell ref="C273:G273"/>
    <mergeCell ref="A274:B274"/>
    <mergeCell ref="C274:G274"/>
    <mergeCell ref="A275:B275"/>
    <mergeCell ref="C275:G275"/>
    <mergeCell ref="A270:B270"/>
    <mergeCell ref="C270:G270"/>
    <mergeCell ref="A271:B271"/>
    <mergeCell ref="C271:G271"/>
    <mergeCell ref="A272:B272"/>
    <mergeCell ref="C272:G272"/>
    <mergeCell ref="A267:B267"/>
    <mergeCell ref="C267:G267"/>
    <mergeCell ref="A268:B268"/>
    <mergeCell ref="C268:G268"/>
    <mergeCell ref="A269:B269"/>
    <mergeCell ref="C269:G269"/>
    <mergeCell ref="A264:B264"/>
    <mergeCell ref="C264:G264"/>
    <mergeCell ref="A265:B265"/>
    <mergeCell ref="C265:G265"/>
    <mergeCell ref="A266:B266"/>
    <mergeCell ref="C266:G266"/>
    <mergeCell ref="A261:B261"/>
    <mergeCell ref="C261:G261"/>
    <mergeCell ref="A262:B262"/>
    <mergeCell ref="C262:G262"/>
    <mergeCell ref="A263:B263"/>
    <mergeCell ref="C263:G263"/>
    <mergeCell ref="A258:B258"/>
    <mergeCell ref="C258:G258"/>
    <mergeCell ref="A259:B259"/>
    <mergeCell ref="C259:G259"/>
    <mergeCell ref="A260:B260"/>
    <mergeCell ref="C260:G260"/>
    <mergeCell ref="A255:B255"/>
    <mergeCell ref="C255:G255"/>
    <mergeCell ref="A256:B256"/>
    <mergeCell ref="C256:G256"/>
    <mergeCell ref="A257:B257"/>
    <mergeCell ref="C257:G257"/>
    <mergeCell ref="A252:B252"/>
    <mergeCell ref="C252:G252"/>
    <mergeCell ref="A253:B253"/>
    <mergeCell ref="C253:G253"/>
    <mergeCell ref="A254:B254"/>
    <mergeCell ref="C254:G254"/>
    <mergeCell ref="A249:B249"/>
    <mergeCell ref="C249:G249"/>
    <mergeCell ref="A250:B250"/>
    <mergeCell ref="C250:G250"/>
    <mergeCell ref="A251:B251"/>
    <mergeCell ref="C251:G251"/>
    <mergeCell ref="A246:B246"/>
    <mergeCell ref="C246:G246"/>
    <mergeCell ref="A247:B247"/>
    <mergeCell ref="C247:G247"/>
    <mergeCell ref="A248:B248"/>
    <mergeCell ref="C248:G248"/>
    <mergeCell ref="A243:B243"/>
    <mergeCell ref="C243:G243"/>
    <mergeCell ref="A244:B244"/>
    <mergeCell ref="C244:G244"/>
    <mergeCell ref="A245:B245"/>
    <mergeCell ref="C245:G245"/>
    <mergeCell ref="A240:B240"/>
    <mergeCell ref="C240:G240"/>
    <mergeCell ref="A241:B241"/>
    <mergeCell ref="C241:G241"/>
    <mergeCell ref="A242:B242"/>
    <mergeCell ref="C242:G242"/>
    <mergeCell ref="A237:B237"/>
    <mergeCell ref="C237:G237"/>
    <mergeCell ref="A238:B238"/>
    <mergeCell ref="C238:G238"/>
    <mergeCell ref="A239:B239"/>
    <mergeCell ref="C239:G239"/>
    <mergeCell ref="A234:B234"/>
    <mergeCell ref="C234:G234"/>
    <mergeCell ref="A235:B235"/>
    <mergeCell ref="C235:G235"/>
    <mergeCell ref="A236:B236"/>
    <mergeCell ref="C236:G236"/>
    <mergeCell ref="A231:B231"/>
    <mergeCell ref="C231:G231"/>
    <mergeCell ref="A232:B232"/>
    <mergeCell ref="C232:G232"/>
    <mergeCell ref="A233:B233"/>
    <mergeCell ref="C233:G233"/>
    <mergeCell ref="A228:B228"/>
    <mergeCell ref="C228:G228"/>
    <mergeCell ref="A229:B229"/>
    <mergeCell ref="C229:G229"/>
    <mergeCell ref="A230:B230"/>
    <mergeCell ref="C230:G230"/>
    <mergeCell ref="A225:B225"/>
    <mergeCell ref="C225:G225"/>
    <mergeCell ref="A226:B226"/>
    <mergeCell ref="C226:G226"/>
    <mergeCell ref="A227:B227"/>
    <mergeCell ref="C227:G227"/>
    <mergeCell ref="A222:B222"/>
    <mergeCell ref="C222:G222"/>
    <mergeCell ref="A223:B223"/>
    <mergeCell ref="C223:G223"/>
    <mergeCell ref="A224:B224"/>
    <mergeCell ref="C224:G224"/>
    <mergeCell ref="A219:B219"/>
    <mergeCell ref="C219:G219"/>
    <mergeCell ref="A220:B220"/>
    <mergeCell ref="C220:G220"/>
    <mergeCell ref="A221:B221"/>
    <mergeCell ref="C221:G221"/>
    <mergeCell ref="A216:B216"/>
    <mergeCell ref="C216:G216"/>
    <mergeCell ref="A217:B217"/>
    <mergeCell ref="C217:G217"/>
    <mergeCell ref="A218:B218"/>
    <mergeCell ref="C218:G218"/>
    <mergeCell ref="A213:B213"/>
    <mergeCell ref="C213:G213"/>
    <mergeCell ref="A214:B214"/>
    <mergeCell ref="C214:G214"/>
    <mergeCell ref="A215:B215"/>
    <mergeCell ref="C215:G215"/>
    <mergeCell ref="A210:B210"/>
    <mergeCell ref="C210:G210"/>
    <mergeCell ref="A211:B211"/>
    <mergeCell ref="C211:G211"/>
    <mergeCell ref="A212:B212"/>
    <mergeCell ref="C212:G212"/>
    <mergeCell ref="A207:B207"/>
    <mergeCell ref="C207:G207"/>
    <mergeCell ref="A208:B208"/>
    <mergeCell ref="C208:G208"/>
    <mergeCell ref="A209:B209"/>
    <mergeCell ref="C209:G209"/>
    <mergeCell ref="A204:B204"/>
    <mergeCell ref="C204:G204"/>
    <mergeCell ref="A205:B205"/>
    <mergeCell ref="C205:G205"/>
    <mergeCell ref="A206:B206"/>
    <mergeCell ref="C206:G206"/>
    <mergeCell ref="A201:B201"/>
    <mergeCell ref="C201:G201"/>
    <mergeCell ref="A202:B202"/>
    <mergeCell ref="C202:G202"/>
    <mergeCell ref="A203:B203"/>
    <mergeCell ref="C203:G203"/>
    <mergeCell ref="A198:B198"/>
    <mergeCell ref="C198:G198"/>
    <mergeCell ref="A199:B199"/>
    <mergeCell ref="C199:G199"/>
    <mergeCell ref="A200:B200"/>
    <mergeCell ref="C200:G200"/>
    <mergeCell ref="A195:B195"/>
    <mergeCell ref="C195:G195"/>
    <mergeCell ref="A196:B196"/>
    <mergeCell ref="C196:G196"/>
    <mergeCell ref="A197:B197"/>
    <mergeCell ref="C197:G197"/>
    <mergeCell ref="A192:B192"/>
    <mergeCell ref="C192:G192"/>
    <mergeCell ref="A193:B193"/>
    <mergeCell ref="C193:G193"/>
    <mergeCell ref="A194:B194"/>
    <mergeCell ref="C194:G194"/>
    <mergeCell ref="A189:B189"/>
    <mergeCell ref="C189:G189"/>
    <mergeCell ref="A190:B190"/>
    <mergeCell ref="C190:G190"/>
    <mergeCell ref="A191:B191"/>
    <mergeCell ref="C191:G191"/>
    <mergeCell ref="A186:B186"/>
    <mergeCell ref="C186:G186"/>
    <mergeCell ref="A187:B187"/>
    <mergeCell ref="C187:G187"/>
    <mergeCell ref="A188:B188"/>
    <mergeCell ref="C188:G188"/>
    <mergeCell ref="A183:B183"/>
    <mergeCell ref="C183:G183"/>
    <mergeCell ref="A184:B184"/>
    <mergeCell ref="C184:G184"/>
    <mergeCell ref="A185:B185"/>
    <mergeCell ref="C185:G185"/>
    <mergeCell ref="A180:B180"/>
    <mergeCell ref="C180:G180"/>
    <mergeCell ref="A181:B181"/>
    <mergeCell ref="C181:G181"/>
    <mergeCell ref="A182:B182"/>
    <mergeCell ref="C182:G182"/>
    <mergeCell ref="A177:B177"/>
    <mergeCell ref="C177:G177"/>
    <mergeCell ref="A178:B178"/>
    <mergeCell ref="C178:G178"/>
    <mergeCell ref="A179:B179"/>
    <mergeCell ref="C179:G179"/>
    <mergeCell ref="A174:B174"/>
    <mergeCell ref="C174:G174"/>
    <mergeCell ref="A175:B175"/>
    <mergeCell ref="C175:G175"/>
    <mergeCell ref="A176:B176"/>
    <mergeCell ref="C176:G176"/>
    <mergeCell ref="A171:B171"/>
    <mergeCell ref="C171:G171"/>
    <mergeCell ref="A172:B172"/>
    <mergeCell ref="C172:G172"/>
    <mergeCell ref="A173:B173"/>
    <mergeCell ref="C173:G173"/>
    <mergeCell ref="A168:B168"/>
    <mergeCell ref="C168:G168"/>
    <mergeCell ref="A169:B169"/>
    <mergeCell ref="C169:G169"/>
    <mergeCell ref="A170:B170"/>
    <mergeCell ref="C170:G170"/>
    <mergeCell ref="A165:B165"/>
    <mergeCell ref="C165:G165"/>
    <mergeCell ref="A166:B166"/>
    <mergeCell ref="C166:G166"/>
    <mergeCell ref="A167:B167"/>
    <mergeCell ref="C167:G167"/>
    <mergeCell ref="A161:B161"/>
    <mergeCell ref="C161:G161"/>
    <mergeCell ref="A162:B162"/>
    <mergeCell ref="C162:G162"/>
    <mergeCell ref="A163:W163"/>
    <mergeCell ref="A164:B164"/>
    <mergeCell ref="C164:G164"/>
    <mergeCell ref="A158:B158"/>
    <mergeCell ref="C158:G158"/>
    <mergeCell ref="A159:B159"/>
    <mergeCell ref="C159:G159"/>
    <mergeCell ref="A160:B160"/>
    <mergeCell ref="C160:G160"/>
    <mergeCell ref="A155:B155"/>
    <mergeCell ref="C155:G155"/>
    <mergeCell ref="A156:B156"/>
    <mergeCell ref="C156:G156"/>
    <mergeCell ref="A157:B157"/>
    <mergeCell ref="C157:G157"/>
    <mergeCell ref="A152:B152"/>
    <mergeCell ref="C152:G152"/>
    <mergeCell ref="A153:B153"/>
    <mergeCell ref="C153:G153"/>
    <mergeCell ref="A154:B154"/>
    <mergeCell ref="C154:G154"/>
    <mergeCell ref="A149:B149"/>
    <mergeCell ref="C149:G149"/>
    <mergeCell ref="A150:B150"/>
    <mergeCell ref="C150:G150"/>
    <mergeCell ref="A151:B151"/>
    <mergeCell ref="C151:G151"/>
    <mergeCell ref="A146:B146"/>
    <mergeCell ref="C146:G146"/>
    <mergeCell ref="A147:B147"/>
    <mergeCell ref="C147:G147"/>
    <mergeCell ref="A148:B148"/>
    <mergeCell ref="C148:G148"/>
    <mergeCell ref="A143:B143"/>
    <mergeCell ref="C143:G143"/>
    <mergeCell ref="A144:B144"/>
    <mergeCell ref="C144:G144"/>
    <mergeCell ref="A145:B145"/>
    <mergeCell ref="C145:G145"/>
    <mergeCell ref="A140:B140"/>
    <mergeCell ref="C140:G140"/>
    <mergeCell ref="A141:B141"/>
    <mergeCell ref="C141:G141"/>
    <mergeCell ref="A142:B142"/>
    <mergeCell ref="C142:G142"/>
    <mergeCell ref="A137:B137"/>
    <mergeCell ref="C137:G137"/>
    <mergeCell ref="A138:B138"/>
    <mergeCell ref="C138:G138"/>
    <mergeCell ref="A139:B139"/>
    <mergeCell ref="C139:G139"/>
    <mergeCell ref="A134:B134"/>
    <mergeCell ref="C134:G134"/>
    <mergeCell ref="A135:B135"/>
    <mergeCell ref="C135:G135"/>
    <mergeCell ref="A136:B136"/>
    <mergeCell ref="C136:G136"/>
    <mergeCell ref="A131:B131"/>
    <mergeCell ref="C131:G131"/>
    <mergeCell ref="A132:B132"/>
    <mergeCell ref="C132:G132"/>
    <mergeCell ref="A133:B133"/>
    <mergeCell ref="C133:G133"/>
    <mergeCell ref="A128:B128"/>
    <mergeCell ref="C128:G128"/>
    <mergeCell ref="A129:B129"/>
    <mergeCell ref="C129:G129"/>
    <mergeCell ref="A130:B130"/>
    <mergeCell ref="C130:G130"/>
    <mergeCell ref="A125:B125"/>
    <mergeCell ref="C125:G125"/>
    <mergeCell ref="A126:B126"/>
    <mergeCell ref="C126:G126"/>
    <mergeCell ref="A127:B127"/>
    <mergeCell ref="C127:G127"/>
    <mergeCell ref="A122:B122"/>
    <mergeCell ref="C122:G122"/>
    <mergeCell ref="A123:B123"/>
    <mergeCell ref="C123:G123"/>
    <mergeCell ref="A124:B124"/>
    <mergeCell ref="C124:G124"/>
    <mergeCell ref="A119:B119"/>
    <mergeCell ref="C119:G119"/>
    <mergeCell ref="A120:B120"/>
    <mergeCell ref="C120:G120"/>
    <mergeCell ref="A121:B121"/>
    <mergeCell ref="C121:G121"/>
    <mergeCell ref="A116:B116"/>
    <mergeCell ref="C116:G116"/>
    <mergeCell ref="A117:B117"/>
    <mergeCell ref="C117:G117"/>
    <mergeCell ref="A118:B118"/>
    <mergeCell ref="C118:G118"/>
    <mergeCell ref="A113:B113"/>
    <mergeCell ref="C113:G113"/>
    <mergeCell ref="A114:B114"/>
    <mergeCell ref="C114:G114"/>
    <mergeCell ref="A115:B115"/>
    <mergeCell ref="C115:G115"/>
    <mergeCell ref="A110:B110"/>
    <mergeCell ref="C110:G110"/>
    <mergeCell ref="A111:B111"/>
    <mergeCell ref="C111:G111"/>
    <mergeCell ref="A112:B112"/>
    <mergeCell ref="C112:G112"/>
    <mergeCell ref="A107:B107"/>
    <mergeCell ref="C107:G107"/>
    <mergeCell ref="A108:B108"/>
    <mergeCell ref="C108:G108"/>
    <mergeCell ref="A109:B109"/>
    <mergeCell ref="C109:G109"/>
    <mergeCell ref="A104:B104"/>
    <mergeCell ref="C104:G104"/>
    <mergeCell ref="A105:B105"/>
    <mergeCell ref="C105:G105"/>
    <mergeCell ref="A106:B106"/>
    <mergeCell ref="C106:G106"/>
    <mergeCell ref="A101:B101"/>
    <mergeCell ref="C101:G101"/>
    <mergeCell ref="A102:B102"/>
    <mergeCell ref="C102:G102"/>
    <mergeCell ref="A103:B103"/>
    <mergeCell ref="C103:G103"/>
    <mergeCell ref="A98:B98"/>
    <mergeCell ref="C98:G98"/>
    <mergeCell ref="A99:B99"/>
    <mergeCell ref="C99:G99"/>
    <mergeCell ref="A100:B100"/>
    <mergeCell ref="C100:G100"/>
    <mergeCell ref="A95:B95"/>
    <mergeCell ref="C95:G95"/>
    <mergeCell ref="A96:B96"/>
    <mergeCell ref="C96:G96"/>
    <mergeCell ref="A97:B97"/>
    <mergeCell ref="C97:G97"/>
    <mergeCell ref="A92:B92"/>
    <mergeCell ref="C92:G92"/>
    <mergeCell ref="A93:B93"/>
    <mergeCell ref="C93:G93"/>
    <mergeCell ref="A94:B94"/>
    <mergeCell ref="C94:G94"/>
    <mergeCell ref="A89:B89"/>
    <mergeCell ref="C89:G89"/>
    <mergeCell ref="A90:B90"/>
    <mergeCell ref="C90:G90"/>
    <mergeCell ref="A91:B91"/>
    <mergeCell ref="C91:G91"/>
    <mergeCell ref="A86:B86"/>
    <mergeCell ref="C86:G86"/>
    <mergeCell ref="A87:B87"/>
    <mergeCell ref="C87:G87"/>
    <mergeCell ref="A88:B88"/>
    <mergeCell ref="C88:G88"/>
    <mergeCell ref="A83:B83"/>
    <mergeCell ref="C83:G83"/>
    <mergeCell ref="A84:B84"/>
    <mergeCell ref="C84:G84"/>
    <mergeCell ref="A85:B85"/>
    <mergeCell ref="C85:G85"/>
    <mergeCell ref="A80:B80"/>
    <mergeCell ref="C80:G80"/>
    <mergeCell ref="A81:B81"/>
    <mergeCell ref="C81:G81"/>
    <mergeCell ref="A82:B82"/>
    <mergeCell ref="C82:G82"/>
    <mergeCell ref="A77:B77"/>
    <mergeCell ref="C77:G77"/>
    <mergeCell ref="A78:B78"/>
    <mergeCell ref="C78:G78"/>
    <mergeCell ref="A79:B79"/>
    <mergeCell ref="C79:G79"/>
    <mergeCell ref="A74:B74"/>
    <mergeCell ref="C74:G74"/>
    <mergeCell ref="A75:B75"/>
    <mergeCell ref="C75:G75"/>
    <mergeCell ref="A76:B76"/>
    <mergeCell ref="C76:G76"/>
    <mergeCell ref="A71:B71"/>
    <mergeCell ref="C71:G71"/>
    <mergeCell ref="A72:B72"/>
    <mergeCell ref="C72:G72"/>
    <mergeCell ref="A73:B73"/>
    <mergeCell ref="C73:G73"/>
    <mergeCell ref="A68:B68"/>
    <mergeCell ref="C68:G68"/>
    <mergeCell ref="A69:B69"/>
    <mergeCell ref="C69:G69"/>
    <mergeCell ref="A70:B70"/>
    <mergeCell ref="C70:G70"/>
    <mergeCell ref="A65:B65"/>
    <mergeCell ref="C65:G65"/>
    <mergeCell ref="A66:B66"/>
    <mergeCell ref="C66:G66"/>
    <mergeCell ref="A67:B67"/>
    <mergeCell ref="C67:G67"/>
    <mergeCell ref="A62:B62"/>
    <mergeCell ref="C62:G62"/>
    <mergeCell ref="A63:B63"/>
    <mergeCell ref="C63:G63"/>
    <mergeCell ref="A64:B64"/>
    <mergeCell ref="C64:G64"/>
    <mergeCell ref="A59:B59"/>
    <mergeCell ref="C59:G59"/>
    <mergeCell ref="A60:B60"/>
    <mergeCell ref="C60:G60"/>
    <mergeCell ref="A61:B61"/>
    <mergeCell ref="C61:G61"/>
    <mergeCell ref="A56:B56"/>
    <mergeCell ref="C56:G56"/>
    <mergeCell ref="A57:B57"/>
    <mergeCell ref="C57:G57"/>
    <mergeCell ref="A58:B58"/>
    <mergeCell ref="C58:G58"/>
    <mergeCell ref="A53:B53"/>
    <mergeCell ref="C53:G53"/>
    <mergeCell ref="A54:B54"/>
    <mergeCell ref="C54:G54"/>
    <mergeCell ref="A55:B55"/>
    <mergeCell ref="C55:G55"/>
    <mergeCell ref="A50:B50"/>
    <mergeCell ref="C50:G50"/>
    <mergeCell ref="A51:B51"/>
    <mergeCell ref="C51:G51"/>
    <mergeCell ref="A52:B52"/>
    <mergeCell ref="C52:G52"/>
    <mergeCell ref="A47:B47"/>
    <mergeCell ref="C47:G47"/>
    <mergeCell ref="A48:B48"/>
    <mergeCell ref="C48:G48"/>
    <mergeCell ref="A49:B49"/>
    <mergeCell ref="C49:G49"/>
    <mergeCell ref="A44:B44"/>
    <mergeCell ref="C44:G44"/>
    <mergeCell ref="A45:B45"/>
    <mergeCell ref="C45:G45"/>
    <mergeCell ref="A46:B46"/>
    <mergeCell ref="C46:G46"/>
    <mergeCell ref="A41:B41"/>
    <mergeCell ref="C41:G41"/>
    <mergeCell ref="A42:B42"/>
    <mergeCell ref="C42:G42"/>
    <mergeCell ref="A43:B43"/>
    <mergeCell ref="C43:G43"/>
    <mergeCell ref="A38:B38"/>
    <mergeCell ref="C38:G38"/>
    <mergeCell ref="A39:B39"/>
    <mergeCell ref="C39:G39"/>
    <mergeCell ref="A40:B40"/>
    <mergeCell ref="C40:G40"/>
    <mergeCell ref="A35:B35"/>
    <mergeCell ref="C35:G35"/>
    <mergeCell ref="A36:B36"/>
    <mergeCell ref="C36:G36"/>
    <mergeCell ref="A37:B37"/>
    <mergeCell ref="C37:G37"/>
    <mergeCell ref="A32:B32"/>
    <mergeCell ref="C32:G32"/>
    <mergeCell ref="A33:B33"/>
    <mergeCell ref="C33:G33"/>
    <mergeCell ref="A34:B34"/>
    <mergeCell ref="C34:G34"/>
    <mergeCell ref="A29:B29"/>
    <mergeCell ref="C29:G29"/>
    <mergeCell ref="A30:B30"/>
    <mergeCell ref="C30:G30"/>
    <mergeCell ref="A31:B31"/>
    <mergeCell ref="C31:G31"/>
    <mergeCell ref="A26:B26"/>
    <mergeCell ref="C26:G26"/>
    <mergeCell ref="A27:B27"/>
    <mergeCell ref="C27:G27"/>
    <mergeCell ref="A28:B28"/>
    <mergeCell ref="C28:G28"/>
    <mergeCell ref="A23:B23"/>
    <mergeCell ref="C23:G23"/>
    <mergeCell ref="A24:B24"/>
    <mergeCell ref="C24:G24"/>
    <mergeCell ref="A25:B25"/>
    <mergeCell ref="C25:G25"/>
    <mergeCell ref="A20:B20"/>
    <mergeCell ref="C20:G20"/>
    <mergeCell ref="A21:B21"/>
    <mergeCell ref="C21:G21"/>
    <mergeCell ref="A22:B22"/>
    <mergeCell ref="C22:G22"/>
    <mergeCell ref="R16:S16"/>
    <mergeCell ref="T16:U16"/>
    <mergeCell ref="V16:W16"/>
    <mergeCell ref="A18:B18"/>
    <mergeCell ref="C18:G18"/>
    <mergeCell ref="A19:W19"/>
    <mergeCell ref="D8:F8"/>
    <mergeCell ref="E9:F9"/>
    <mergeCell ref="B14:F14"/>
    <mergeCell ref="A15:W15"/>
    <mergeCell ref="A16:B17"/>
    <mergeCell ref="C16:G17"/>
    <mergeCell ref="H16:H17"/>
    <mergeCell ref="L16:M16"/>
    <mergeCell ref="N16:O16"/>
    <mergeCell ref="P16:Q16"/>
  </mergeCells>
  <pageMargins left="0.39370078740157483" right="0.11811023622047245" top="0.39370078740157483" bottom="0.31496062992125984" header="0.19685039370078741" footer="0.19685039370078741"/>
  <pageSetup paperSize="8" scale="125" fitToHeight="0" orientation="landscape" r:id="rId1"/>
  <headerFooter alignWithMargins="0"/>
  <rowBreaks count="4" manualBreakCount="4">
    <brk id="82" max="18" man="1"/>
    <brk id="162" max="18" man="1"/>
    <brk id="249" max="18" man="1"/>
    <brk id="33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F81"/>
  <sheetViews>
    <sheetView view="pageBreakPreview" topLeftCell="A63" zoomScale="40" zoomScaleNormal="70" zoomScaleSheetLayoutView="40" workbookViewId="0">
      <selection activeCell="F83" sqref="F83"/>
    </sheetView>
  </sheetViews>
  <sheetFormatPr defaultRowHeight="23.25" x14ac:dyDescent="0.35"/>
  <cols>
    <col min="1" max="1" width="16" style="136" customWidth="1"/>
    <col min="2" max="2" width="62.5" style="136" customWidth="1"/>
    <col min="3" max="3" width="35.5" style="136" customWidth="1"/>
    <col min="4" max="4" width="7.75" style="136" bestFit="1" customWidth="1"/>
    <col min="5" max="5" width="17.875" style="136" bestFit="1" customWidth="1"/>
    <col min="6" max="6" width="7.75" style="136" bestFit="1" customWidth="1"/>
    <col min="7" max="7" width="17.875" style="136" bestFit="1" customWidth="1"/>
    <col min="8" max="8" width="7.75" style="136" bestFit="1" customWidth="1"/>
    <col min="9" max="9" width="17.875" style="136" bestFit="1" customWidth="1"/>
    <col min="10" max="10" width="13.5" style="136" customWidth="1"/>
    <col min="11" max="11" width="17.875" style="136" bestFit="1" customWidth="1"/>
    <col min="12" max="12" width="7.75" style="136" bestFit="1" customWidth="1"/>
    <col min="13" max="13" width="17.875" style="136" bestFit="1" customWidth="1"/>
    <col min="14" max="14" width="12.375" style="136" customWidth="1"/>
    <col min="15" max="15" width="17.875" style="136" bestFit="1" customWidth="1"/>
    <col min="16" max="16" width="7.75" style="136" bestFit="1" customWidth="1"/>
    <col min="17" max="17" width="17.875" style="136" bestFit="1" customWidth="1"/>
    <col min="18" max="18" width="7.75" style="136" bestFit="1" customWidth="1"/>
    <col min="19" max="19" width="17.875" style="136" bestFit="1" customWidth="1"/>
    <col min="20" max="20" width="10.75" style="136" bestFit="1" customWidth="1"/>
    <col min="21" max="21" width="17.875" style="136" bestFit="1" customWidth="1"/>
    <col min="22" max="22" width="7.75" style="136" bestFit="1" customWidth="1"/>
    <col min="23" max="23" width="17.875" style="136" bestFit="1" customWidth="1"/>
    <col min="24" max="24" width="7.75" style="136" bestFit="1" customWidth="1"/>
    <col min="25" max="25" width="17.875" style="136" bestFit="1" customWidth="1"/>
    <col min="26" max="26" width="7.75" style="136" bestFit="1" customWidth="1"/>
    <col min="27" max="27" width="17.875" style="136" bestFit="1" customWidth="1"/>
    <col min="28" max="28" width="7.75" style="136" bestFit="1" customWidth="1"/>
    <col min="29" max="29" width="17.875" style="136" bestFit="1" customWidth="1"/>
    <col min="30" max="30" width="7.75" style="136" bestFit="1" customWidth="1"/>
    <col min="31" max="31" width="17.875" style="136" bestFit="1" customWidth="1"/>
    <col min="32" max="32" width="7.75" style="136" bestFit="1" customWidth="1"/>
    <col min="33" max="33" width="17.875" style="136" bestFit="1" customWidth="1"/>
    <col min="34" max="34" width="7.75" style="136" bestFit="1" customWidth="1"/>
    <col min="35" max="35" width="17.875" style="136" bestFit="1" customWidth="1"/>
    <col min="36" max="36" width="7.75" style="136" bestFit="1" customWidth="1"/>
    <col min="37" max="37" width="17.875" style="136" bestFit="1" customWidth="1"/>
    <col min="38" max="38" width="7.75" style="136" bestFit="1" customWidth="1"/>
    <col min="39" max="39" width="17.875" style="136" bestFit="1" customWidth="1"/>
    <col min="40" max="40" width="7.75" style="136" bestFit="1" customWidth="1"/>
    <col min="41" max="41" width="17.875" style="136" bestFit="1" customWidth="1"/>
    <col min="42" max="42" width="7.75" style="136" bestFit="1" customWidth="1"/>
    <col min="43" max="43" width="17.875" style="136" bestFit="1" customWidth="1"/>
    <col min="44" max="44" width="7.75" style="136" bestFit="1" customWidth="1"/>
    <col min="45" max="45" width="6.25" style="136" customWidth="1"/>
    <col min="46" max="16384" width="9" style="136"/>
  </cols>
  <sheetData>
    <row r="1" spans="1:58" x14ac:dyDescent="0.35">
      <c r="A1" s="1106"/>
      <c r="AS1" s="364" t="s">
        <v>266</v>
      </c>
    </row>
    <row r="2" spans="1:58" x14ac:dyDescent="0.35">
      <c r="A2" s="1106"/>
      <c r="J2" s="365"/>
      <c r="K2" s="1127"/>
      <c r="L2" s="1127"/>
      <c r="M2" s="1127"/>
      <c r="N2" s="1127"/>
      <c r="O2" s="365"/>
      <c r="AS2" s="366" t="s">
        <v>1</v>
      </c>
    </row>
    <row r="3" spans="1:58" x14ac:dyDescent="0.35">
      <c r="J3" s="160"/>
      <c r="K3" s="160"/>
      <c r="L3" s="160"/>
      <c r="M3" s="160"/>
      <c r="N3" s="160"/>
      <c r="O3" s="160"/>
      <c r="AS3" s="366" t="s">
        <v>265</v>
      </c>
    </row>
    <row r="4" spans="1:58" x14ac:dyDescent="0.35">
      <c r="A4" s="1128" t="s">
        <v>673</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row>
    <row r="5" spans="1:58" x14ac:dyDescent="0.35">
      <c r="A5" s="1129" t="s">
        <v>928</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row>
    <row r="6" spans="1:58" ht="15.75" customHeight="1" x14ac:dyDescent="0.35"/>
    <row r="7" spans="1:58" ht="21.75" customHeight="1" x14ac:dyDescent="0.35">
      <c r="A7" s="1130" t="s">
        <v>926</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row>
    <row r="8" spans="1:58" ht="15.75" customHeight="1" x14ac:dyDescent="0.35">
      <c r="A8" s="1126" t="s">
        <v>313</v>
      </c>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row>
    <row r="10" spans="1:58" ht="25.5" customHeight="1" x14ac:dyDescent="0.35">
      <c r="A10" s="1130" t="s">
        <v>1698</v>
      </c>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row>
    <row r="11" spans="1:58" ht="15" customHeight="1" x14ac:dyDescent="0.3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row>
    <row r="12" spans="1:58" s="160" customFormat="1" ht="33.75" customHeight="1" x14ac:dyDescent="0.35">
      <c r="A12" s="1131" t="s">
        <v>940</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367"/>
      <c r="AU12" s="367"/>
      <c r="AV12" s="367"/>
      <c r="AW12" s="367"/>
      <c r="AX12" s="367"/>
      <c r="AY12" s="367"/>
      <c r="AZ12" s="367"/>
      <c r="BA12" s="367"/>
      <c r="BB12" s="367"/>
      <c r="BC12" s="367"/>
      <c r="BD12" s="367"/>
      <c r="BE12" s="367"/>
      <c r="BF12" s="367"/>
    </row>
    <row r="13" spans="1:58" s="160" customFormat="1" ht="32.25" customHeight="1" x14ac:dyDescent="0.35">
      <c r="A13" s="1131" t="s">
        <v>165</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367"/>
      <c r="AU13" s="367"/>
      <c r="AV13" s="367"/>
      <c r="AW13" s="367"/>
      <c r="AX13" s="367"/>
      <c r="AY13" s="367"/>
      <c r="AZ13" s="367"/>
      <c r="BA13" s="367"/>
      <c r="BB13" s="367"/>
      <c r="BC13" s="367"/>
      <c r="BD13" s="367"/>
      <c r="BE13" s="367"/>
      <c r="BF13" s="367"/>
    </row>
    <row r="14" spans="1:58" s="160" customFormat="1" ht="15.75" customHeight="1" x14ac:dyDescent="0.35">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1"/>
      <c r="AS14" s="1131"/>
      <c r="AT14" s="367"/>
      <c r="AU14" s="367"/>
      <c r="AV14" s="367"/>
      <c r="AW14" s="367"/>
      <c r="AX14" s="367"/>
      <c r="AY14" s="367"/>
      <c r="AZ14" s="367"/>
      <c r="BA14" s="367"/>
      <c r="BB14" s="367"/>
      <c r="BC14" s="367"/>
      <c r="BD14" s="367"/>
      <c r="BE14" s="367"/>
      <c r="BF14" s="367"/>
    </row>
    <row r="15" spans="1:58" s="368" customFormat="1" ht="33.75" customHeight="1" x14ac:dyDescent="0.25">
      <c r="A15" s="1132" t="s">
        <v>179</v>
      </c>
      <c r="B15" s="1132" t="s">
        <v>31</v>
      </c>
      <c r="C15" s="1132" t="s">
        <v>4</v>
      </c>
      <c r="D15" s="1132" t="s">
        <v>166</v>
      </c>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c r="AL15" s="1132"/>
      <c r="AM15" s="1132"/>
      <c r="AN15" s="1132"/>
      <c r="AO15" s="1132"/>
      <c r="AP15" s="1132"/>
      <c r="AQ15" s="1132"/>
      <c r="AR15" s="1132"/>
      <c r="AS15" s="1132"/>
    </row>
    <row r="16" spans="1:58" ht="145.5" customHeight="1" x14ac:dyDescent="0.35">
      <c r="A16" s="1132"/>
      <c r="B16" s="1132"/>
      <c r="C16" s="1132"/>
      <c r="D16" s="1132" t="s">
        <v>58</v>
      </c>
      <c r="E16" s="1132"/>
      <c r="F16" s="1132"/>
      <c r="G16" s="1132"/>
      <c r="H16" s="1132"/>
      <c r="I16" s="1132"/>
      <c r="J16" s="1132" t="s">
        <v>59</v>
      </c>
      <c r="K16" s="1132"/>
      <c r="L16" s="1132"/>
      <c r="M16" s="1132"/>
      <c r="N16" s="1132"/>
      <c r="O16" s="1132"/>
      <c r="P16" s="1132" t="s">
        <v>52</v>
      </c>
      <c r="Q16" s="1132"/>
      <c r="R16" s="1132"/>
      <c r="S16" s="1132"/>
      <c r="T16" s="1132"/>
      <c r="U16" s="1132"/>
      <c r="V16" s="1132" t="s">
        <v>53</v>
      </c>
      <c r="W16" s="1132"/>
      <c r="X16" s="1132"/>
      <c r="Y16" s="1132"/>
      <c r="Z16" s="1132"/>
      <c r="AA16" s="1132"/>
      <c r="AB16" s="1132" t="s">
        <v>33</v>
      </c>
      <c r="AC16" s="1132"/>
      <c r="AD16" s="1132"/>
      <c r="AE16" s="1132"/>
      <c r="AF16" s="1132"/>
      <c r="AG16" s="1132"/>
      <c r="AH16" s="1132" t="s">
        <v>50</v>
      </c>
      <c r="AI16" s="1132"/>
      <c r="AJ16" s="1132"/>
      <c r="AK16" s="1132"/>
      <c r="AL16" s="1132"/>
      <c r="AM16" s="1132"/>
      <c r="AN16" s="1132" t="s">
        <v>51</v>
      </c>
      <c r="AO16" s="1132"/>
      <c r="AP16" s="1132"/>
      <c r="AQ16" s="1132"/>
      <c r="AR16" s="1132"/>
      <c r="AS16" s="1132"/>
    </row>
    <row r="17" spans="1:45" s="369" customFormat="1" ht="212.25" customHeight="1" x14ac:dyDescent="0.35">
      <c r="A17" s="1132"/>
      <c r="B17" s="1132"/>
      <c r="C17" s="1132"/>
      <c r="D17" s="1133" t="s">
        <v>927</v>
      </c>
      <c r="E17" s="1133"/>
      <c r="F17" s="1133" t="s">
        <v>676</v>
      </c>
      <c r="G17" s="1133"/>
      <c r="H17" s="1133" t="s">
        <v>677</v>
      </c>
      <c r="I17" s="1133"/>
      <c r="J17" s="1133" t="s">
        <v>678</v>
      </c>
      <c r="K17" s="1133"/>
      <c r="L17" s="1133" t="s">
        <v>679</v>
      </c>
      <c r="M17" s="1133"/>
      <c r="N17" s="1133" t="s">
        <v>680</v>
      </c>
      <c r="O17" s="1133"/>
      <c r="P17" s="1133" t="s">
        <v>681</v>
      </c>
      <c r="Q17" s="1133"/>
      <c r="R17" s="1133" t="s">
        <v>682</v>
      </c>
      <c r="S17" s="1133"/>
      <c r="T17" s="1133" t="s">
        <v>1041</v>
      </c>
      <c r="U17" s="1133"/>
      <c r="V17" s="1134" t="s">
        <v>60</v>
      </c>
      <c r="W17" s="1134"/>
      <c r="X17" s="1134" t="s">
        <v>60</v>
      </c>
      <c r="Y17" s="1134"/>
      <c r="Z17" s="1134" t="s">
        <v>0</v>
      </c>
      <c r="AA17" s="1134"/>
      <c r="AB17" s="1134" t="s">
        <v>60</v>
      </c>
      <c r="AC17" s="1134"/>
      <c r="AD17" s="1134" t="s">
        <v>60</v>
      </c>
      <c r="AE17" s="1134"/>
      <c r="AF17" s="1134" t="s">
        <v>0</v>
      </c>
      <c r="AG17" s="1134"/>
      <c r="AH17" s="1134" t="s">
        <v>60</v>
      </c>
      <c r="AI17" s="1134"/>
      <c r="AJ17" s="1134" t="s">
        <v>60</v>
      </c>
      <c r="AK17" s="1134"/>
      <c r="AL17" s="1134" t="s">
        <v>0</v>
      </c>
      <c r="AM17" s="1134"/>
      <c r="AN17" s="1134" t="s">
        <v>60</v>
      </c>
      <c r="AO17" s="1134"/>
      <c r="AP17" s="1134" t="s">
        <v>60</v>
      </c>
      <c r="AQ17" s="1134"/>
      <c r="AR17" s="1134" t="s">
        <v>0</v>
      </c>
      <c r="AS17" s="1134"/>
    </row>
    <row r="18" spans="1:45" ht="141.75" customHeight="1" x14ac:dyDescent="0.35">
      <c r="A18" s="1132"/>
      <c r="B18" s="1132"/>
      <c r="C18" s="1132"/>
      <c r="D18" s="161" t="s">
        <v>683</v>
      </c>
      <c r="E18" s="161" t="s">
        <v>163</v>
      </c>
      <c r="F18" s="161" t="s">
        <v>683</v>
      </c>
      <c r="G18" s="161" t="s">
        <v>163</v>
      </c>
      <c r="H18" s="161" t="s">
        <v>683</v>
      </c>
      <c r="I18" s="161" t="s">
        <v>163</v>
      </c>
      <c r="J18" s="161" t="s">
        <v>683</v>
      </c>
      <c r="K18" s="161" t="s">
        <v>163</v>
      </c>
      <c r="L18" s="161" t="s">
        <v>683</v>
      </c>
      <c r="M18" s="161" t="s">
        <v>163</v>
      </c>
      <c r="N18" s="161" t="s">
        <v>683</v>
      </c>
      <c r="O18" s="161" t="s">
        <v>163</v>
      </c>
      <c r="P18" s="161" t="s">
        <v>683</v>
      </c>
      <c r="Q18" s="161" t="s">
        <v>163</v>
      </c>
      <c r="R18" s="161" t="s">
        <v>683</v>
      </c>
      <c r="S18" s="161" t="s">
        <v>163</v>
      </c>
      <c r="T18" s="161" t="s">
        <v>683</v>
      </c>
      <c r="U18" s="161" t="s">
        <v>163</v>
      </c>
      <c r="V18" s="161" t="s">
        <v>683</v>
      </c>
      <c r="W18" s="161" t="s">
        <v>163</v>
      </c>
      <c r="X18" s="161" t="s">
        <v>683</v>
      </c>
      <c r="Y18" s="161" t="s">
        <v>163</v>
      </c>
      <c r="Z18" s="161" t="s">
        <v>683</v>
      </c>
      <c r="AA18" s="161" t="s">
        <v>163</v>
      </c>
      <c r="AB18" s="161" t="s">
        <v>683</v>
      </c>
      <c r="AC18" s="161" t="s">
        <v>163</v>
      </c>
      <c r="AD18" s="161" t="s">
        <v>683</v>
      </c>
      <c r="AE18" s="161" t="s">
        <v>163</v>
      </c>
      <c r="AF18" s="161" t="s">
        <v>683</v>
      </c>
      <c r="AG18" s="161" t="s">
        <v>163</v>
      </c>
      <c r="AH18" s="161" t="s">
        <v>683</v>
      </c>
      <c r="AI18" s="161" t="s">
        <v>163</v>
      </c>
      <c r="AJ18" s="161" t="s">
        <v>683</v>
      </c>
      <c r="AK18" s="161" t="s">
        <v>163</v>
      </c>
      <c r="AL18" s="161" t="s">
        <v>683</v>
      </c>
      <c r="AM18" s="161" t="s">
        <v>163</v>
      </c>
      <c r="AN18" s="161" t="s">
        <v>683</v>
      </c>
      <c r="AO18" s="161" t="s">
        <v>163</v>
      </c>
      <c r="AP18" s="161" t="s">
        <v>683</v>
      </c>
      <c r="AQ18" s="161" t="s">
        <v>163</v>
      </c>
      <c r="AR18" s="161" t="s">
        <v>683</v>
      </c>
      <c r="AS18" s="161" t="s">
        <v>163</v>
      </c>
    </row>
    <row r="19" spans="1:45" x14ac:dyDescent="0.35">
      <c r="A19" s="298">
        <v>1</v>
      </c>
      <c r="B19" s="370">
        <v>2</v>
      </c>
      <c r="C19" s="298">
        <v>3</v>
      </c>
      <c r="D19" s="371" t="s">
        <v>107</v>
      </c>
      <c r="E19" s="371" t="s">
        <v>114</v>
      </c>
      <c r="F19" s="371" t="s">
        <v>115</v>
      </c>
      <c r="G19" s="371" t="s">
        <v>152</v>
      </c>
      <c r="H19" s="371" t="s">
        <v>173</v>
      </c>
      <c r="I19" s="371" t="s">
        <v>173</v>
      </c>
      <c r="J19" s="371" t="s">
        <v>100</v>
      </c>
      <c r="K19" s="371" t="s">
        <v>101</v>
      </c>
      <c r="L19" s="371" t="s">
        <v>116</v>
      </c>
      <c r="M19" s="371" t="s">
        <v>117</v>
      </c>
      <c r="N19" s="371" t="s">
        <v>523</v>
      </c>
      <c r="O19" s="371" t="s">
        <v>812</v>
      </c>
      <c r="P19" s="371" t="s">
        <v>103</v>
      </c>
      <c r="Q19" s="371" t="s">
        <v>104</v>
      </c>
      <c r="R19" s="371" t="s">
        <v>105</v>
      </c>
      <c r="S19" s="371" t="s">
        <v>106</v>
      </c>
      <c r="T19" s="371" t="s">
        <v>172</v>
      </c>
      <c r="U19" s="371" t="s">
        <v>172</v>
      </c>
      <c r="V19" s="371" t="s">
        <v>119</v>
      </c>
      <c r="W19" s="371" t="s">
        <v>120</v>
      </c>
      <c r="X19" s="371" t="s">
        <v>153</v>
      </c>
      <c r="Y19" s="371" t="s">
        <v>154</v>
      </c>
      <c r="Z19" s="371" t="s">
        <v>174</v>
      </c>
      <c r="AA19" s="371" t="s">
        <v>174</v>
      </c>
      <c r="AB19" s="371" t="s">
        <v>122</v>
      </c>
      <c r="AC19" s="371" t="s">
        <v>123</v>
      </c>
      <c r="AD19" s="371" t="s">
        <v>127</v>
      </c>
      <c r="AE19" s="371" t="s">
        <v>128</v>
      </c>
      <c r="AF19" s="371" t="s">
        <v>175</v>
      </c>
      <c r="AG19" s="371" t="s">
        <v>175</v>
      </c>
      <c r="AH19" s="371" t="s">
        <v>155</v>
      </c>
      <c r="AI19" s="371" t="s">
        <v>156</v>
      </c>
      <c r="AJ19" s="371" t="s">
        <v>157</v>
      </c>
      <c r="AK19" s="371" t="s">
        <v>158</v>
      </c>
      <c r="AL19" s="371" t="s">
        <v>176</v>
      </c>
      <c r="AM19" s="371" t="s">
        <v>176</v>
      </c>
      <c r="AN19" s="371" t="s">
        <v>159</v>
      </c>
      <c r="AO19" s="371" t="s">
        <v>160</v>
      </c>
      <c r="AP19" s="371" t="s">
        <v>161</v>
      </c>
      <c r="AQ19" s="371" t="s">
        <v>162</v>
      </c>
      <c r="AR19" s="371" t="s">
        <v>177</v>
      </c>
      <c r="AS19" s="371" t="s">
        <v>177</v>
      </c>
    </row>
    <row r="20" spans="1:45" s="445" customFormat="1" ht="57.75" customHeight="1" x14ac:dyDescent="0.4">
      <c r="A20" s="443" t="s">
        <v>711</v>
      </c>
      <c r="B20" s="444" t="s">
        <v>684</v>
      </c>
      <c r="C20" s="980" t="s">
        <v>621</v>
      </c>
      <c r="D20" s="980" t="s">
        <v>621</v>
      </c>
      <c r="E20" s="980" t="s">
        <v>621</v>
      </c>
      <c r="F20" s="980" t="s">
        <v>621</v>
      </c>
      <c r="G20" s="980" t="s">
        <v>621</v>
      </c>
      <c r="H20" s="980" t="str">
        <f>H29</f>
        <v>нд</v>
      </c>
      <c r="I20" s="980" t="s">
        <v>621</v>
      </c>
      <c r="J20" s="980">
        <f>J22</f>
        <v>2.06</v>
      </c>
      <c r="K20" s="980">
        <f>K45</f>
        <v>1.26</v>
      </c>
      <c r="L20" s="980">
        <f>L22</f>
        <v>38</v>
      </c>
      <c r="M20" s="980">
        <f>M22</f>
        <v>42</v>
      </c>
      <c r="N20" s="980">
        <v>3.875</v>
      </c>
      <c r="O20" s="980">
        <f>O22</f>
        <v>8.2680000000000007</v>
      </c>
      <c r="P20" s="980" t="s">
        <v>621</v>
      </c>
      <c r="Q20" s="980" t="s">
        <v>621</v>
      </c>
      <c r="R20" s="980" t="s">
        <v>621</v>
      </c>
      <c r="S20" s="980" t="s">
        <v>621</v>
      </c>
      <c r="T20" s="980">
        <f>U20</f>
        <v>2658</v>
      </c>
      <c r="U20" s="980">
        <f>U22</f>
        <v>2658</v>
      </c>
      <c r="V20" s="980" t="s">
        <v>621</v>
      </c>
      <c r="W20" s="980" t="s">
        <v>621</v>
      </c>
      <c r="X20" s="980" t="s">
        <v>621</v>
      </c>
      <c r="Y20" s="980" t="s">
        <v>621</v>
      </c>
      <c r="Z20" s="980" t="s">
        <v>621</v>
      </c>
      <c r="AA20" s="980" t="s">
        <v>621</v>
      </c>
      <c r="AB20" s="980" t="s">
        <v>621</v>
      </c>
      <c r="AC20" s="980" t="s">
        <v>621</v>
      </c>
      <c r="AD20" s="980" t="s">
        <v>621</v>
      </c>
      <c r="AE20" s="980" t="s">
        <v>621</v>
      </c>
      <c r="AF20" s="980" t="s">
        <v>621</v>
      </c>
      <c r="AG20" s="980" t="s">
        <v>621</v>
      </c>
      <c r="AH20" s="980" t="s">
        <v>621</v>
      </c>
      <c r="AI20" s="980" t="s">
        <v>621</v>
      </c>
      <c r="AJ20" s="980" t="s">
        <v>621</v>
      </c>
      <c r="AK20" s="980" t="s">
        <v>621</v>
      </c>
      <c r="AL20" s="980" t="s">
        <v>621</v>
      </c>
      <c r="AM20" s="980" t="s">
        <v>621</v>
      </c>
      <c r="AN20" s="980" t="s">
        <v>621</v>
      </c>
      <c r="AO20" s="980" t="s">
        <v>621</v>
      </c>
      <c r="AP20" s="980" t="s">
        <v>621</v>
      </c>
      <c r="AQ20" s="980" t="s">
        <v>621</v>
      </c>
      <c r="AR20" s="980" t="s">
        <v>621</v>
      </c>
      <c r="AS20" s="980" t="s">
        <v>621</v>
      </c>
    </row>
    <row r="21" spans="1:45" s="236" customFormat="1" ht="60.75" hidden="1" x14ac:dyDescent="0.45">
      <c r="A21" s="981" t="s">
        <v>712</v>
      </c>
      <c r="B21" s="437" t="s">
        <v>685</v>
      </c>
      <c r="C21" s="922" t="s">
        <v>621</v>
      </c>
      <c r="D21" s="922" t="s">
        <v>621</v>
      </c>
      <c r="E21" s="922" t="s">
        <v>621</v>
      </c>
      <c r="F21" s="922" t="s">
        <v>621</v>
      </c>
      <c r="G21" s="922" t="s">
        <v>621</v>
      </c>
      <c r="H21" s="922" t="s">
        <v>621</v>
      </c>
      <c r="I21" s="922" t="s">
        <v>621</v>
      </c>
      <c r="J21" s="922" t="s">
        <v>621</v>
      </c>
      <c r="K21" s="922" t="s">
        <v>621</v>
      </c>
      <c r="L21" s="922" t="s">
        <v>621</v>
      </c>
      <c r="M21" s="922" t="s">
        <v>621</v>
      </c>
      <c r="N21" s="922" t="s">
        <v>621</v>
      </c>
      <c r="O21" s="922" t="s">
        <v>621</v>
      </c>
      <c r="P21" s="922" t="s">
        <v>621</v>
      </c>
      <c r="Q21" s="922" t="s">
        <v>621</v>
      </c>
      <c r="R21" s="922" t="s">
        <v>621</v>
      </c>
      <c r="S21" s="922" t="s">
        <v>621</v>
      </c>
      <c r="T21" s="922" t="s">
        <v>621</v>
      </c>
      <c r="U21" s="922" t="s">
        <v>621</v>
      </c>
      <c r="V21" s="922" t="s">
        <v>621</v>
      </c>
      <c r="W21" s="922" t="s">
        <v>621</v>
      </c>
      <c r="X21" s="922" t="s">
        <v>621</v>
      </c>
      <c r="Y21" s="922" t="s">
        <v>621</v>
      </c>
      <c r="Z21" s="922" t="s">
        <v>621</v>
      </c>
      <c r="AA21" s="922" t="s">
        <v>621</v>
      </c>
      <c r="AB21" s="922" t="s">
        <v>621</v>
      </c>
      <c r="AC21" s="922" t="s">
        <v>621</v>
      </c>
      <c r="AD21" s="922" t="s">
        <v>621</v>
      </c>
      <c r="AE21" s="922" t="s">
        <v>621</v>
      </c>
      <c r="AF21" s="922" t="s">
        <v>621</v>
      </c>
      <c r="AG21" s="922" t="s">
        <v>621</v>
      </c>
      <c r="AH21" s="922" t="s">
        <v>621</v>
      </c>
      <c r="AI21" s="922" t="s">
        <v>621</v>
      </c>
      <c r="AJ21" s="922" t="s">
        <v>621</v>
      </c>
      <c r="AK21" s="922" t="s">
        <v>621</v>
      </c>
      <c r="AL21" s="922" t="s">
        <v>621</v>
      </c>
      <c r="AM21" s="922" t="s">
        <v>621</v>
      </c>
      <c r="AN21" s="922" t="s">
        <v>621</v>
      </c>
      <c r="AO21" s="922" t="s">
        <v>621</v>
      </c>
      <c r="AP21" s="922" t="s">
        <v>621</v>
      </c>
      <c r="AQ21" s="922" t="s">
        <v>621</v>
      </c>
      <c r="AR21" s="922" t="s">
        <v>621</v>
      </c>
      <c r="AS21" s="922" t="s">
        <v>621</v>
      </c>
    </row>
    <row r="22" spans="1:45" s="236" customFormat="1" ht="92.25" customHeight="1" x14ac:dyDescent="0.45">
      <c r="A22" s="981" t="s">
        <v>713</v>
      </c>
      <c r="B22" s="437" t="s">
        <v>686</v>
      </c>
      <c r="C22" s="922" t="s">
        <v>621</v>
      </c>
      <c r="D22" s="922" t="s">
        <v>621</v>
      </c>
      <c r="E22" s="922" t="s">
        <v>621</v>
      </c>
      <c r="F22" s="922" t="s">
        <v>621</v>
      </c>
      <c r="G22" s="922" t="s">
        <v>621</v>
      </c>
      <c r="H22" s="922" t="s">
        <v>621</v>
      </c>
      <c r="I22" s="922" t="s">
        <v>621</v>
      </c>
      <c r="J22" s="922">
        <f>J28</f>
        <v>2.06</v>
      </c>
      <c r="K22" s="922">
        <f>K28</f>
        <v>1.26</v>
      </c>
      <c r="L22" s="922">
        <f>L45</f>
        <v>38</v>
      </c>
      <c r="M22" s="922">
        <f>M28</f>
        <v>42</v>
      </c>
      <c r="N22" s="922">
        <v>3.875</v>
      </c>
      <c r="O22" s="922">
        <f>O28</f>
        <v>8.2680000000000007</v>
      </c>
      <c r="P22" s="922" t="s">
        <v>621</v>
      </c>
      <c r="Q22" s="922" t="s">
        <v>621</v>
      </c>
      <c r="R22" s="922" t="s">
        <v>621</v>
      </c>
      <c r="S22" s="922" t="s">
        <v>621</v>
      </c>
      <c r="T22" s="922">
        <f>U22</f>
        <v>2658</v>
      </c>
      <c r="U22" s="922">
        <f>U28</f>
        <v>2658</v>
      </c>
      <c r="V22" s="922" t="s">
        <v>621</v>
      </c>
      <c r="W22" s="922" t="s">
        <v>621</v>
      </c>
      <c r="X22" s="922" t="s">
        <v>621</v>
      </c>
      <c r="Y22" s="922" t="s">
        <v>621</v>
      </c>
      <c r="Z22" s="922" t="s">
        <v>621</v>
      </c>
      <c r="AA22" s="922" t="s">
        <v>621</v>
      </c>
      <c r="AB22" s="922" t="s">
        <v>621</v>
      </c>
      <c r="AC22" s="922" t="s">
        <v>621</v>
      </c>
      <c r="AD22" s="922" t="s">
        <v>621</v>
      </c>
      <c r="AE22" s="922" t="s">
        <v>621</v>
      </c>
      <c r="AF22" s="922" t="s">
        <v>621</v>
      </c>
      <c r="AG22" s="922" t="s">
        <v>621</v>
      </c>
      <c r="AH22" s="922" t="s">
        <v>621</v>
      </c>
      <c r="AI22" s="922" t="s">
        <v>621</v>
      </c>
      <c r="AJ22" s="922" t="s">
        <v>621</v>
      </c>
      <c r="AK22" s="922" t="s">
        <v>621</v>
      </c>
      <c r="AL22" s="922" t="s">
        <v>621</v>
      </c>
      <c r="AM22" s="922" t="s">
        <v>621</v>
      </c>
      <c r="AN22" s="922" t="s">
        <v>621</v>
      </c>
      <c r="AO22" s="922" t="s">
        <v>621</v>
      </c>
      <c r="AP22" s="922" t="s">
        <v>621</v>
      </c>
      <c r="AQ22" s="922" t="s">
        <v>621</v>
      </c>
      <c r="AR22" s="922" t="s">
        <v>621</v>
      </c>
      <c r="AS22" s="922" t="s">
        <v>621</v>
      </c>
    </row>
    <row r="23" spans="1:45" s="236" customFormat="1" ht="180.75" hidden="1" x14ac:dyDescent="0.45">
      <c r="A23" s="981" t="s">
        <v>714</v>
      </c>
      <c r="B23" s="437" t="s">
        <v>687</v>
      </c>
      <c r="C23" s="922" t="s">
        <v>621</v>
      </c>
      <c r="D23" s="922" t="s">
        <v>621</v>
      </c>
      <c r="E23" s="922" t="s">
        <v>621</v>
      </c>
      <c r="F23" s="922" t="s">
        <v>621</v>
      </c>
      <c r="G23" s="922" t="s">
        <v>621</v>
      </c>
      <c r="H23" s="922" t="s">
        <v>621</v>
      </c>
      <c r="I23" s="922" t="s">
        <v>621</v>
      </c>
      <c r="J23" s="922" t="s">
        <v>621</v>
      </c>
      <c r="K23" s="922" t="s">
        <v>621</v>
      </c>
      <c r="L23" s="922" t="s">
        <v>621</v>
      </c>
      <c r="M23" s="922" t="s">
        <v>621</v>
      </c>
      <c r="N23" s="922" t="s">
        <v>621</v>
      </c>
      <c r="O23" s="922" t="s">
        <v>621</v>
      </c>
      <c r="P23" s="922" t="s">
        <v>621</v>
      </c>
      <c r="Q23" s="922" t="s">
        <v>621</v>
      </c>
      <c r="R23" s="922" t="s">
        <v>621</v>
      </c>
      <c r="S23" s="922" t="s">
        <v>621</v>
      </c>
      <c r="T23" s="922" t="s">
        <v>621</v>
      </c>
      <c r="U23" s="922" t="s">
        <v>621</v>
      </c>
      <c r="V23" s="922" t="s">
        <v>621</v>
      </c>
      <c r="W23" s="922" t="s">
        <v>621</v>
      </c>
      <c r="X23" s="922" t="s">
        <v>621</v>
      </c>
      <c r="Y23" s="922" t="s">
        <v>621</v>
      </c>
      <c r="Z23" s="922" t="s">
        <v>621</v>
      </c>
      <c r="AA23" s="922" t="s">
        <v>621</v>
      </c>
      <c r="AB23" s="922" t="s">
        <v>621</v>
      </c>
      <c r="AC23" s="922" t="s">
        <v>621</v>
      </c>
      <c r="AD23" s="922" t="s">
        <v>621</v>
      </c>
      <c r="AE23" s="922" t="s">
        <v>621</v>
      </c>
      <c r="AF23" s="922" t="s">
        <v>621</v>
      </c>
      <c r="AG23" s="922" t="s">
        <v>621</v>
      </c>
      <c r="AH23" s="922" t="s">
        <v>621</v>
      </c>
      <c r="AI23" s="922" t="s">
        <v>621</v>
      </c>
      <c r="AJ23" s="922" t="s">
        <v>621</v>
      </c>
      <c r="AK23" s="922" t="s">
        <v>621</v>
      </c>
      <c r="AL23" s="922" t="s">
        <v>621</v>
      </c>
      <c r="AM23" s="922" t="s">
        <v>621</v>
      </c>
      <c r="AN23" s="922" t="s">
        <v>621</v>
      </c>
      <c r="AO23" s="922" t="s">
        <v>621</v>
      </c>
      <c r="AP23" s="922" t="s">
        <v>621</v>
      </c>
      <c r="AQ23" s="922" t="s">
        <v>621</v>
      </c>
      <c r="AR23" s="922" t="s">
        <v>621</v>
      </c>
      <c r="AS23" s="922" t="s">
        <v>621</v>
      </c>
    </row>
    <row r="24" spans="1:45" s="236" customFormat="1" ht="90.75" hidden="1" x14ac:dyDescent="0.45">
      <c r="A24" s="981" t="s">
        <v>715</v>
      </c>
      <c r="B24" s="437" t="s">
        <v>688</v>
      </c>
      <c r="C24" s="922" t="s">
        <v>621</v>
      </c>
      <c r="D24" s="922" t="s">
        <v>621</v>
      </c>
      <c r="E24" s="922" t="s">
        <v>621</v>
      </c>
      <c r="F24" s="922" t="s">
        <v>621</v>
      </c>
      <c r="G24" s="922" t="s">
        <v>621</v>
      </c>
      <c r="H24" s="922" t="s">
        <v>621</v>
      </c>
      <c r="I24" s="922" t="s">
        <v>621</v>
      </c>
      <c r="J24" s="922" t="s">
        <v>621</v>
      </c>
      <c r="K24" s="922" t="s">
        <v>621</v>
      </c>
      <c r="L24" s="922" t="s">
        <v>621</v>
      </c>
      <c r="M24" s="922" t="s">
        <v>621</v>
      </c>
      <c r="N24" s="922" t="s">
        <v>621</v>
      </c>
      <c r="O24" s="922" t="s">
        <v>621</v>
      </c>
      <c r="P24" s="922" t="s">
        <v>621</v>
      </c>
      <c r="Q24" s="922" t="s">
        <v>621</v>
      </c>
      <c r="R24" s="922" t="s">
        <v>621</v>
      </c>
      <c r="S24" s="922" t="s">
        <v>621</v>
      </c>
      <c r="T24" s="922" t="s">
        <v>621</v>
      </c>
      <c r="U24" s="922" t="s">
        <v>621</v>
      </c>
      <c r="V24" s="922" t="s">
        <v>621</v>
      </c>
      <c r="W24" s="922" t="s">
        <v>621</v>
      </c>
      <c r="X24" s="922" t="s">
        <v>621</v>
      </c>
      <c r="Y24" s="922" t="s">
        <v>621</v>
      </c>
      <c r="Z24" s="922" t="s">
        <v>621</v>
      </c>
      <c r="AA24" s="922" t="s">
        <v>621</v>
      </c>
      <c r="AB24" s="922" t="s">
        <v>621</v>
      </c>
      <c r="AC24" s="922" t="s">
        <v>621</v>
      </c>
      <c r="AD24" s="922" t="s">
        <v>621</v>
      </c>
      <c r="AE24" s="922" t="s">
        <v>621</v>
      </c>
      <c r="AF24" s="922" t="s">
        <v>621</v>
      </c>
      <c r="AG24" s="922" t="s">
        <v>621</v>
      </c>
      <c r="AH24" s="922" t="s">
        <v>621</v>
      </c>
      <c r="AI24" s="922" t="s">
        <v>621</v>
      </c>
      <c r="AJ24" s="922" t="s">
        <v>621</v>
      </c>
      <c r="AK24" s="922" t="s">
        <v>621</v>
      </c>
      <c r="AL24" s="922" t="s">
        <v>621</v>
      </c>
      <c r="AM24" s="922" t="s">
        <v>621</v>
      </c>
      <c r="AN24" s="922" t="s">
        <v>621</v>
      </c>
      <c r="AO24" s="922" t="s">
        <v>621</v>
      </c>
      <c r="AP24" s="922" t="s">
        <v>621</v>
      </c>
      <c r="AQ24" s="922" t="s">
        <v>621</v>
      </c>
      <c r="AR24" s="922" t="s">
        <v>621</v>
      </c>
      <c r="AS24" s="922" t="s">
        <v>621</v>
      </c>
    </row>
    <row r="25" spans="1:45" s="236" customFormat="1" ht="120.75" hidden="1" x14ac:dyDescent="0.45">
      <c r="A25" s="981" t="s">
        <v>716</v>
      </c>
      <c r="B25" s="437" t="s">
        <v>689</v>
      </c>
      <c r="C25" s="922" t="s">
        <v>621</v>
      </c>
      <c r="D25" s="922" t="s">
        <v>621</v>
      </c>
      <c r="E25" s="922" t="s">
        <v>621</v>
      </c>
      <c r="F25" s="922" t="s">
        <v>621</v>
      </c>
      <c r="G25" s="922" t="s">
        <v>621</v>
      </c>
      <c r="H25" s="922" t="s">
        <v>621</v>
      </c>
      <c r="I25" s="922" t="s">
        <v>621</v>
      </c>
      <c r="J25" s="922" t="s">
        <v>621</v>
      </c>
      <c r="K25" s="922" t="s">
        <v>621</v>
      </c>
      <c r="L25" s="922" t="s">
        <v>621</v>
      </c>
      <c r="M25" s="922" t="s">
        <v>621</v>
      </c>
      <c r="N25" s="922" t="s">
        <v>621</v>
      </c>
      <c r="O25" s="922" t="s">
        <v>621</v>
      </c>
      <c r="P25" s="922" t="s">
        <v>621</v>
      </c>
      <c r="Q25" s="922" t="s">
        <v>621</v>
      </c>
      <c r="R25" s="922" t="s">
        <v>621</v>
      </c>
      <c r="S25" s="922" t="s">
        <v>621</v>
      </c>
      <c r="T25" s="922" t="s">
        <v>621</v>
      </c>
      <c r="U25" s="922" t="s">
        <v>621</v>
      </c>
      <c r="V25" s="922" t="s">
        <v>621</v>
      </c>
      <c r="W25" s="922" t="s">
        <v>621</v>
      </c>
      <c r="X25" s="922" t="s">
        <v>621</v>
      </c>
      <c r="Y25" s="922" t="s">
        <v>621</v>
      </c>
      <c r="Z25" s="922" t="s">
        <v>621</v>
      </c>
      <c r="AA25" s="922" t="s">
        <v>621</v>
      </c>
      <c r="AB25" s="922" t="s">
        <v>621</v>
      </c>
      <c r="AC25" s="922" t="s">
        <v>621</v>
      </c>
      <c r="AD25" s="922" t="s">
        <v>621</v>
      </c>
      <c r="AE25" s="922" t="s">
        <v>621</v>
      </c>
      <c r="AF25" s="922" t="s">
        <v>621</v>
      </c>
      <c r="AG25" s="922" t="s">
        <v>621</v>
      </c>
      <c r="AH25" s="922" t="s">
        <v>621</v>
      </c>
      <c r="AI25" s="922" t="s">
        <v>621</v>
      </c>
      <c r="AJ25" s="922" t="s">
        <v>621</v>
      </c>
      <c r="AK25" s="922" t="s">
        <v>621</v>
      </c>
      <c r="AL25" s="922" t="s">
        <v>621</v>
      </c>
      <c r="AM25" s="922" t="s">
        <v>621</v>
      </c>
      <c r="AN25" s="922" t="s">
        <v>621</v>
      </c>
      <c r="AO25" s="922" t="s">
        <v>621</v>
      </c>
      <c r="AP25" s="922" t="s">
        <v>621</v>
      </c>
      <c r="AQ25" s="922" t="s">
        <v>621</v>
      </c>
      <c r="AR25" s="922" t="s">
        <v>621</v>
      </c>
      <c r="AS25" s="922" t="s">
        <v>621</v>
      </c>
    </row>
    <row r="26" spans="1:45" s="236" customFormat="1" ht="60.75" hidden="1" x14ac:dyDescent="0.45">
      <c r="A26" s="981" t="s">
        <v>717</v>
      </c>
      <c r="B26" s="437" t="s">
        <v>690</v>
      </c>
      <c r="C26" s="922" t="s">
        <v>621</v>
      </c>
      <c r="D26" s="922" t="s">
        <v>621</v>
      </c>
      <c r="E26" s="922" t="s">
        <v>621</v>
      </c>
      <c r="F26" s="922" t="s">
        <v>621</v>
      </c>
      <c r="G26" s="922" t="s">
        <v>621</v>
      </c>
      <c r="H26" s="922" t="s">
        <v>621</v>
      </c>
      <c r="I26" s="922" t="s">
        <v>621</v>
      </c>
      <c r="J26" s="922" t="s">
        <v>621</v>
      </c>
      <c r="K26" s="922" t="s">
        <v>621</v>
      </c>
      <c r="L26" s="922" t="s">
        <v>621</v>
      </c>
      <c r="M26" s="922" t="s">
        <v>621</v>
      </c>
      <c r="N26" s="922" t="s">
        <v>621</v>
      </c>
      <c r="O26" s="922" t="s">
        <v>621</v>
      </c>
      <c r="P26" s="922" t="s">
        <v>621</v>
      </c>
      <c r="Q26" s="922" t="s">
        <v>621</v>
      </c>
      <c r="R26" s="922" t="s">
        <v>621</v>
      </c>
      <c r="S26" s="922" t="s">
        <v>621</v>
      </c>
      <c r="T26" s="922" t="s">
        <v>621</v>
      </c>
      <c r="U26" s="922" t="s">
        <v>621</v>
      </c>
      <c r="V26" s="922" t="s">
        <v>621</v>
      </c>
      <c r="W26" s="922" t="s">
        <v>621</v>
      </c>
      <c r="X26" s="922" t="s">
        <v>621</v>
      </c>
      <c r="Y26" s="922" t="s">
        <v>621</v>
      </c>
      <c r="Z26" s="922" t="s">
        <v>621</v>
      </c>
      <c r="AA26" s="922" t="s">
        <v>621</v>
      </c>
      <c r="AB26" s="922" t="s">
        <v>621</v>
      </c>
      <c r="AC26" s="922" t="s">
        <v>621</v>
      </c>
      <c r="AD26" s="922" t="s">
        <v>621</v>
      </c>
      <c r="AE26" s="922" t="s">
        <v>621</v>
      </c>
      <c r="AF26" s="922" t="s">
        <v>621</v>
      </c>
      <c r="AG26" s="922" t="s">
        <v>621</v>
      </c>
      <c r="AH26" s="922" t="s">
        <v>621</v>
      </c>
      <c r="AI26" s="922" t="s">
        <v>621</v>
      </c>
      <c r="AJ26" s="922" t="s">
        <v>621</v>
      </c>
      <c r="AK26" s="922" t="s">
        <v>621</v>
      </c>
      <c r="AL26" s="922" t="s">
        <v>621</v>
      </c>
      <c r="AM26" s="922" t="s">
        <v>621</v>
      </c>
      <c r="AN26" s="922" t="s">
        <v>621</v>
      </c>
      <c r="AO26" s="922" t="s">
        <v>621</v>
      </c>
      <c r="AP26" s="922" t="s">
        <v>621</v>
      </c>
      <c r="AQ26" s="922" t="s">
        <v>621</v>
      </c>
      <c r="AR26" s="922" t="s">
        <v>621</v>
      </c>
      <c r="AS26" s="922" t="s">
        <v>621</v>
      </c>
    </row>
    <row r="27" spans="1:45" s="236" customFormat="1" ht="30.75" hidden="1" x14ac:dyDescent="0.45">
      <c r="A27" s="657"/>
      <c r="B27" s="654"/>
      <c r="C27" s="922" t="s">
        <v>621</v>
      </c>
      <c r="D27" s="922" t="s">
        <v>621</v>
      </c>
      <c r="E27" s="922" t="s">
        <v>621</v>
      </c>
      <c r="F27" s="922" t="s">
        <v>621</v>
      </c>
      <c r="G27" s="922" t="s">
        <v>621</v>
      </c>
      <c r="H27" s="922" t="s">
        <v>621</v>
      </c>
      <c r="I27" s="922" t="s">
        <v>621</v>
      </c>
      <c r="J27" s="922" t="s">
        <v>621</v>
      </c>
      <c r="K27" s="922" t="s">
        <v>621</v>
      </c>
      <c r="L27" s="922" t="s">
        <v>621</v>
      </c>
      <c r="M27" s="922" t="s">
        <v>621</v>
      </c>
      <c r="N27" s="922" t="s">
        <v>621</v>
      </c>
      <c r="O27" s="922" t="s">
        <v>621</v>
      </c>
      <c r="P27" s="922" t="s">
        <v>621</v>
      </c>
      <c r="Q27" s="922" t="s">
        <v>621</v>
      </c>
      <c r="R27" s="922" t="s">
        <v>621</v>
      </c>
      <c r="S27" s="922" t="s">
        <v>621</v>
      </c>
      <c r="T27" s="922" t="s">
        <v>621</v>
      </c>
      <c r="U27" s="922" t="s">
        <v>621</v>
      </c>
      <c r="V27" s="922" t="s">
        <v>621</v>
      </c>
      <c r="W27" s="922" t="s">
        <v>621</v>
      </c>
      <c r="X27" s="922" t="s">
        <v>621</v>
      </c>
      <c r="Y27" s="922" t="s">
        <v>621</v>
      </c>
      <c r="Z27" s="922" t="s">
        <v>621</v>
      </c>
      <c r="AA27" s="922" t="s">
        <v>621</v>
      </c>
      <c r="AB27" s="922" t="s">
        <v>621</v>
      </c>
      <c r="AC27" s="922" t="s">
        <v>621</v>
      </c>
      <c r="AD27" s="922" t="s">
        <v>621</v>
      </c>
      <c r="AE27" s="922" t="s">
        <v>621</v>
      </c>
      <c r="AF27" s="922" t="s">
        <v>621</v>
      </c>
      <c r="AG27" s="922" t="s">
        <v>621</v>
      </c>
      <c r="AH27" s="922" t="s">
        <v>621</v>
      </c>
      <c r="AI27" s="922" t="s">
        <v>621</v>
      </c>
      <c r="AJ27" s="922" t="s">
        <v>621</v>
      </c>
      <c r="AK27" s="922" t="s">
        <v>621</v>
      </c>
      <c r="AL27" s="922" t="s">
        <v>621</v>
      </c>
      <c r="AM27" s="922" t="s">
        <v>621</v>
      </c>
      <c r="AN27" s="922" t="s">
        <v>621</v>
      </c>
      <c r="AO27" s="922" t="s">
        <v>621</v>
      </c>
      <c r="AP27" s="922" t="s">
        <v>621</v>
      </c>
      <c r="AQ27" s="922" t="s">
        <v>621</v>
      </c>
      <c r="AR27" s="922" t="s">
        <v>621</v>
      </c>
      <c r="AS27" s="922" t="s">
        <v>621</v>
      </c>
    </row>
    <row r="28" spans="1:45" s="236" customFormat="1" ht="45.75" customHeight="1" x14ac:dyDescent="0.45">
      <c r="A28" s="657" t="s">
        <v>537</v>
      </c>
      <c r="B28" s="654" t="s">
        <v>691</v>
      </c>
      <c r="C28" s="922" t="s">
        <v>621</v>
      </c>
      <c r="D28" s="922" t="s">
        <v>621</v>
      </c>
      <c r="E28" s="922" t="s">
        <v>621</v>
      </c>
      <c r="F28" s="922" t="s">
        <v>621</v>
      </c>
      <c r="G28" s="922" t="s">
        <v>621</v>
      </c>
      <c r="H28" s="922" t="s">
        <v>621</v>
      </c>
      <c r="I28" s="922" t="s">
        <v>621</v>
      </c>
      <c r="J28" s="922">
        <f>J45</f>
        <v>2.06</v>
      </c>
      <c r="K28" s="922">
        <f>K45</f>
        <v>1.26</v>
      </c>
      <c r="L28" s="922">
        <f>L45</f>
        <v>38</v>
      </c>
      <c r="M28" s="922">
        <f>M45</f>
        <v>42</v>
      </c>
      <c r="N28" s="922">
        <v>3.875</v>
      </c>
      <c r="O28" s="922">
        <f>O45</f>
        <v>8.2680000000000007</v>
      </c>
      <c r="P28" s="922" t="s">
        <v>621</v>
      </c>
      <c r="Q28" s="922" t="s">
        <v>621</v>
      </c>
      <c r="R28" s="922" t="s">
        <v>621</v>
      </c>
      <c r="S28" s="922" t="s">
        <v>621</v>
      </c>
      <c r="T28" s="922">
        <f>U28</f>
        <v>2658</v>
      </c>
      <c r="U28" s="922">
        <f>U54</f>
        <v>2658</v>
      </c>
      <c r="V28" s="922" t="s">
        <v>621</v>
      </c>
      <c r="W28" s="922" t="s">
        <v>621</v>
      </c>
      <c r="X28" s="922" t="s">
        <v>621</v>
      </c>
      <c r="Y28" s="922" t="s">
        <v>621</v>
      </c>
      <c r="Z28" s="922" t="s">
        <v>621</v>
      </c>
      <c r="AA28" s="922" t="s">
        <v>621</v>
      </c>
      <c r="AB28" s="922" t="s">
        <v>621</v>
      </c>
      <c r="AC28" s="922" t="s">
        <v>621</v>
      </c>
      <c r="AD28" s="922" t="s">
        <v>621</v>
      </c>
      <c r="AE28" s="922" t="s">
        <v>621</v>
      </c>
      <c r="AF28" s="922" t="s">
        <v>621</v>
      </c>
      <c r="AG28" s="922" t="s">
        <v>621</v>
      </c>
      <c r="AH28" s="922" t="s">
        <v>621</v>
      </c>
      <c r="AI28" s="922" t="s">
        <v>621</v>
      </c>
      <c r="AJ28" s="922" t="s">
        <v>621</v>
      </c>
      <c r="AK28" s="922" t="s">
        <v>621</v>
      </c>
      <c r="AL28" s="922" t="s">
        <v>621</v>
      </c>
      <c r="AM28" s="922" t="s">
        <v>621</v>
      </c>
      <c r="AN28" s="922" t="s">
        <v>621</v>
      </c>
      <c r="AO28" s="922" t="s">
        <v>621</v>
      </c>
      <c r="AP28" s="922" t="s">
        <v>621</v>
      </c>
      <c r="AQ28" s="922" t="s">
        <v>621</v>
      </c>
      <c r="AR28" s="922" t="s">
        <v>621</v>
      </c>
      <c r="AS28" s="922" t="s">
        <v>621</v>
      </c>
    </row>
    <row r="29" spans="1:45" s="236" customFormat="1" ht="90.75" hidden="1" x14ac:dyDescent="0.45">
      <c r="A29" s="981" t="s">
        <v>538</v>
      </c>
      <c r="B29" s="437" t="s">
        <v>692</v>
      </c>
      <c r="C29" s="922" t="s">
        <v>621</v>
      </c>
      <c r="D29" s="922" t="s">
        <v>621</v>
      </c>
      <c r="E29" s="922" t="s">
        <v>621</v>
      </c>
      <c r="F29" s="922" t="s">
        <v>621</v>
      </c>
      <c r="G29" s="922" t="s">
        <v>621</v>
      </c>
      <c r="H29" s="922" t="s">
        <v>621</v>
      </c>
      <c r="I29" s="922" t="s">
        <v>621</v>
      </c>
      <c r="J29" s="922" t="s">
        <v>621</v>
      </c>
      <c r="K29" s="922" t="s">
        <v>621</v>
      </c>
      <c r="L29" s="922" t="s">
        <v>621</v>
      </c>
      <c r="M29" s="922" t="s">
        <v>621</v>
      </c>
      <c r="N29" s="922" t="s">
        <v>621</v>
      </c>
      <c r="O29" s="922" t="s">
        <v>621</v>
      </c>
      <c r="P29" s="922" t="s">
        <v>621</v>
      </c>
      <c r="Q29" s="922" t="s">
        <v>621</v>
      </c>
      <c r="R29" s="922" t="s">
        <v>621</v>
      </c>
      <c r="S29" s="922" t="s">
        <v>621</v>
      </c>
      <c r="T29" s="922">
        <f t="shared" ref="T29:T44" si="0">U29</f>
        <v>2658</v>
      </c>
      <c r="U29" s="922">
        <f t="shared" ref="U29:U44" si="1">U55</f>
        <v>2658</v>
      </c>
      <c r="V29" s="922" t="s">
        <v>621</v>
      </c>
      <c r="W29" s="922" t="s">
        <v>621</v>
      </c>
      <c r="X29" s="922" t="s">
        <v>621</v>
      </c>
      <c r="Y29" s="922" t="s">
        <v>621</v>
      </c>
      <c r="Z29" s="922" t="s">
        <v>621</v>
      </c>
      <c r="AA29" s="922" t="s">
        <v>621</v>
      </c>
      <c r="AB29" s="922" t="s">
        <v>621</v>
      </c>
      <c r="AC29" s="922" t="s">
        <v>621</v>
      </c>
      <c r="AD29" s="922" t="s">
        <v>621</v>
      </c>
      <c r="AE29" s="922" t="s">
        <v>621</v>
      </c>
      <c r="AF29" s="922" t="s">
        <v>621</v>
      </c>
      <c r="AG29" s="922" t="s">
        <v>621</v>
      </c>
      <c r="AH29" s="922" t="s">
        <v>621</v>
      </c>
      <c r="AI29" s="922" t="s">
        <v>621</v>
      </c>
      <c r="AJ29" s="922" t="s">
        <v>621</v>
      </c>
      <c r="AK29" s="922" t="s">
        <v>621</v>
      </c>
      <c r="AL29" s="922" t="s">
        <v>621</v>
      </c>
      <c r="AM29" s="922" t="s">
        <v>621</v>
      </c>
      <c r="AN29" s="922" t="s">
        <v>621</v>
      </c>
      <c r="AO29" s="922" t="s">
        <v>621</v>
      </c>
      <c r="AP29" s="922" t="s">
        <v>621</v>
      </c>
      <c r="AQ29" s="922" t="s">
        <v>621</v>
      </c>
      <c r="AR29" s="922" t="s">
        <v>621</v>
      </c>
      <c r="AS29" s="922" t="s">
        <v>621</v>
      </c>
    </row>
    <row r="30" spans="1:45" s="236" customFormat="1" ht="123" hidden="1" x14ac:dyDescent="0.45">
      <c r="A30" s="657" t="s">
        <v>540</v>
      </c>
      <c r="B30" s="654" t="s">
        <v>725</v>
      </c>
      <c r="C30" s="922" t="s">
        <v>621</v>
      </c>
      <c r="D30" s="922" t="s">
        <v>621</v>
      </c>
      <c r="E30" s="922" t="s">
        <v>621</v>
      </c>
      <c r="F30" s="922" t="s">
        <v>621</v>
      </c>
      <c r="G30" s="922" t="s">
        <v>621</v>
      </c>
      <c r="H30" s="922" t="s">
        <v>621</v>
      </c>
      <c r="I30" s="922" t="s">
        <v>621</v>
      </c>
      <c r="J30" s="922" t="s">
        <v>621</v>
      </c>
      <c r="K30" s="922" t="s">
        <v>621</v>
      </c>
      <c r="L30" s="922" t="s">
        <v>621</v>
      </c>
      <c r="M30" s="922" t="s">
        <v>621</v>
      </c>
      <c r="N30" s="922" t="s">
        <v>621</v>
      </c>
      <c r="O30" s="922" t="s">
        <v>621</v>
      </c>
      <c r="P30" s="922" t="s">
        <v>621</v>
      </c>
      <c r="Q30" s="922" t="s">
        <v>621</v>
      </c>
      <c r="R30" s="922" t="s">
        <v>621</v>
      </c>
      <c r="S30" s="922" t="s">
        <v>621</v>
      </c>
      <c r="T30" s="922">
        <f t="shared" si="0"/>
        <v>0</v>
      </c>
      <c r="U30" s="922">
        <f t="shared" si="1"/>
        <v>0</v>
      </c>
      <c r="V30" s="922" t="s">
        <v>621</v>
      </c>
      <c r="W30" s="922" t="s">
        <v>621</v>
      </c>
      <c r="X30" s="922" t="s">
        <v>621</v>
      </c>
      <c r="Y30" s="922" t="s">
        <v>621</v>
      </c>
      <c r="Z30" s="922" t="s">
        <v>621</v>
      </c>
      <c r="AA30" s="922" t="s">
        <v>621</v>
      </c>
      <c r="AB30" s="922" t="s">
        <v>621</v>
      </c>
      <c r="AC30" s="922" t="s">
        <v>621</v>
      </c>
      <c r="AD30" s="922" t="s">
        <v>621</v>
      </c>
      <c r="AE30" s="922" t="s">
        <v>621</v>
      </c>
      <c r="AF30" s="922" t="s">
        <v>621</v>
      </c>
      <c r="AG30" s="922" t="s">
        <v>621</v>
      </c>
      <c r="AH30" s="922" t="s">
        <v>621</v>
      </c>
      <c r="AI30" s="922" t="s">
        <v>621</v>
      </c>
      <c r="AJ30" s="922" t="s">
        <v>621</v>
      </c>
      <c r="AK30" s="922" t="s">
        <v>621</v>
      </c>
      <c r="AL30" s="922" t="s">
        <v>621</v>
      </c>
      <c r="AM30" s="922" t="s">
        <v>621</v>
      </c>
      <c r="AN30" s="922" t="s">
        <v>621</v>
      </c>
      <c r="AO30" s="922" t="s">
        <v>621</v>
      </c>
      <c r="AP30" s="922" t="s">
        <v>621</v>
      </c>
      <c r="AQ30" s="922" t="s">
        <v>621</v>
      </c>
      <c r="AR30" s="922" t="s">
        <v>621</v>
      </c>
      <c r="AS30" s="922" t="s">
        <v>621</v>
      </c>
    </row>
    <row r="31" spans="1:45" s="236" customFormat="1" ht="153.75" hidden="1" x14ac:dyDescent="0.45">
      <c r="A31" s="657" t="s">
        <v>568</v>
      </c>
      <c r="B31" s="654" t="s">
        <v>726</v>
      </c>
      <c r="C31" s="922" t="s">
        <v>621</v>
      </c>
      <c r="D31" s="922" t="s">
        <v>621</v>
      </c>
      <c r="E31" s="922" t="s">
        <v>621</v>
      </c>
      <c r="F31" s="922" t="s">
        <v>621</v>
      </c>
      <c r="G31" s="922" t="s">
        <v>621</v>
      </c>
      <c r="H31" s="922" t="s">
        <v>621</v>
      </c>
      <c r="I31" s="922" t="s">
        <v>621</v>
      </c>
      <c r="J31" s="922" t="s">
        <v>621</v>
      </c>
      <c r="K31" s="922" t="s">
        <v>621</v>
      </c>
      <c r="L31" s="922" t="s">
        <v>621</v>
      </c>
      <c r="M31" s="922" t="s">
        <v>621</v>
      </c>
      <c r="N31" s="922" t="s">
        <v>621</v>
      </c>
      <c r="O31" s="922" t="s">
        <v>621</v>
      </c>
      <c r="P31" s="922" t="s">
        <v>621</v>
      </c>
      <c r="Q31" s="922" t="s">
        <v>621</v>
      </c>
      <c r="R31" s="922" t="s">
        <v>621</v>
      </c>
      <c r="S31" s="922" t="s">
        <v>621</v>
      </c>
      <c r="T31" s="922">
        <f t="shared" si="0"/>
        <v>0</v>
      </c>
      <c r="U31" s="922">
        <f t="shared" si="1"/>
        <v>0</v>
      </c>
      <c r="V31" s="922" t="s">
        <v>621</v>
      </c>
      <c r="W31" s="922" t="s">
        <v>621</v>
      </c>
      <c r="X31" s="922" t="s">
        <v>621</v>
      </c>
      <c r="Y31" s="922" t="s">
        <v>621</v>
      </c>
      <c r="Z31" s="922" t="s">
        <v>621</v>
      </c>
      <c r="AA31" s="922" t="s">
        <v>621</v>
      </c>
      <c r="AB31" s="922" t="s">
        <v>621</v>
      </c>
      <c r="AC31" s="922" t="s">
        <v>621</v>
      </c>
      <c r="AD31" s="922" t="s">
        <v>621</v>
      </c>
      <c r="AE31" s="922" t="s">
        <v>621</v>
      </c>
      <c r="AF31" s="922" t="s">
        <v>621</v>
      </c>
      <c r="AG31" s="922" t="s">
        <v>621</v>
      </c>
      <c r="AH31" s="922" t="s">
        <v>621</v>
      </c>
      <c r="AI31" s="922" t="s">
        <v>621</v>
      </c>
      <c r="AJ31" s="922" t="s">
        <v>621</v>
      </c>
      <c r="AK31" s="922" t="s">
        <v>621</v>
      </c>
      <c r="AL31" s="922" t="s">
        <v>621</v>
      </c>
      <c r="AM31" s="922" t="s">
        <v>621</v>
      </c>
      <c r="AN31" s="922" t="s">
        <v>621</v>
      </c>
      <c r="AO31" s="922" t="s">
        <v>621</v>
      </c>
      <c r="AP31" s="922" t="s">
        <v>621</v>
      </c>
      <c r="AQ31" s="922" t="s">
        <v>621</v>
      </c>
      <c r="AR31" s="922" t="s">
        <v>621</v>
      </c>
      <c r="AS31" s="922" t="s">
        <v>621</v>
      </c>
    </row>
    <row r="32" spans="1:45" s="236" customFormat="1" ht="153.75" hidden="1" x14ac:dyDescent="0.45">
      <c r="A32" s="657" t="s">
        <v>569</v>
      </c>
      <c r="B32" s="654" t="s">
        <v>727</v>
      </c>
      <c r="C32" s="922" t="s">
        <v>621</v>
      </c>
      <c r="D32" s="922" t="s">
        <v>621</v>
      </c>
      <c r="E32" s="922" t="s">
        <v>621</v>
      </c>
      <c r="F32" s="922" t="s">
        <v>621</v>
      </c>
      <c r="G32" s="922" t="s">
        <v>621</v>
      </c>
      <c r="H32" s="922" t="s">
        <v>621</v>
      </c>
      <c r="I32" s="922" t="s">
        <v>621</v>
      </c>
      <c r="J32" s="922" t="s">
        <v>621</v>
      </c>
      <c r="K32" s="922" t="s">
        <v>621</v>
      </c>
      <c r="L32" s="922" t="s">
        <v>621</v>
      </c>
      <c r="M32" s="922" t="s">
        <v>621</v>
      </c>
      <c r="N32" s="922" t="s">
        <v>621</v>
      </c>
      <c r="O32" s="922" t="s">
        <v>621</v>
      </c>
      <c r="P32" s="922" t="s">
        <v>621</v>
      </c>
      <c r="Q32" s="922" t="s">
        <v>621</v>
      </c>
      <c r="R32" s="922" t="s">
        <v>621</v>
      </c>
      <c r="S32" s="922" t="s">
        <v>621</v>
      </c>
      <c r="T32" s="922">
        <f t="shared" si="0"/>
        <v>0</v>
      </c>
      <c r="U32" s="922">
        <f t="shared" si="1"/>
        <v>0</v>
      </c>
      <c r="V32" s="922" t="s">
        <v>621</v>
      </c>
      <c r="W32" s="922" t="s">
        <v>621</v>
      </c>
      <c r="X32" s="922" t="s">
        <v>621</v>
      </c>
      <c r="Y32" s="922" t="s">
        <v>621</v>
      </c>
      <c r="Z32" s="922" t="s">
        <v>621</v>
      </c>
      <c r="AA32" s="922" t="s">
        <v>621</v>
      </c>
      <c r="AB32" s="922" t="s">
        <v>621</v>
      </c>
      <c r="AC32" s="922" t="s">
        <v>621</v>
      </c>
      <c r="AD32" s="922" t="s">
        <v>621</v>
      </c>
      <c r="AE32" s="922" t="s">
        <v>621</v>
      </c>
      <c r="AF32" s="922" t="s">
        <v>621</v>
      </c>
      <c r="AG32" s="922" t="s">
        <v>621</v>
      </c>
      <c r="AH32" s="922" t="s">
        <v>621</v>
      </c>
      <c r="AI32" s="922" t="s">
        <v>621</v>
      </c>
      <c r="AJ32" s="922" t="s">
        <v>621</v>
      </c>
      <c r="AK32" s="922" t="s">
        <v>621</v>
      </c>
      <c r="AL32" s="922" t="s">
        <v>621</v>
      </c>
      <c r="AM32" s="922" t="s">
        <v>621</v>
      </c>
      <c r="AN32" s="922" t="s">
        <v>621</v>
      </c>
      <c r="AO32" s="922" t="s">
        <v>621</v>
      </c>
      <c r="AP32" s="922" t="s">
        <v>621</v>
      </c>
      <c r="AQ32" s="922" t="s">
        <v>621</v>
      </c>
      <c r="AR32" s="922" t="s">
        <v>621</v>
      </c>
      <c r="AS32" s="922" t="s">
        <v>621</v>
      </c>
    </row>
    <row r="33" spans="1:45" s="236" customFormat="1" ht="123" hidden="1" x14ac:dyDescent="0.45">
      <c r="A33" s="657" t="s">
        <v>570</v>
      </c>
      <c r="B33" s="654" t="s">
        <v>728</v>
      </c>
      <c r="C33" s="922" t="s">
        <v>621</v>
      </c>
      <c r="D33" s="922" t="s">
        <v>621</v>
      </c>
      <c r="E33" s="922" t="s">
        <v>621</v>
      </c>
      <c r="F33" s="922" t="s">
        <v>621</v>
      </c>
      <c r="G33" s="922" t="s">
        <v>621</v>
      </c>
      <c r="H33" s="922" t="s">
        <v>621</v>
      </c>
      <c r="I33" s="922" t="s">
        <v>621</v>
      </c>
      <c r="J33" s="922" t="s">
        <v>621</v>
      </c>
      <c r="K33" s="922" t="s">
        <v>621</v>
      </c>
      <c r="L33" s="922" t="s">
        <v>621</v>
      </c>
      <c r="M33" s="922" t="s">
        <v>621</v>
      </c>
      <c r="N33" s="922" t="s">
        <v>621</v>
      </c>
      <c r="O33" s="922" t="s">
        <v>621</v>
      </c>
      <c r="P33" s="922" t="s">
        <v>621</v>
      </c>
      <c r="Q33" s="922" t="s">
        <v>621</v>
      </c>
      <c r="R33" s="922" t="s">
        <v>621</v>
      </c>
      <c r="S33" s="922" t="s">
        <v>621</v>
      </c>
      <c r="T33" s="922">
        <f t="shared" si="0"/>
        <v>0</v>
      </c>
      <c r="U33" s="922">
        <f t="shared" si="1"/>
        <v>0</v>
      </c>
      <c r="V33" s="922" t="s">
        <v>621</v>
      </c>
      <c r="W33" s="922" t="s">
        <v>621</v>
      </c>
      <c r="X33" s="922" t="s">
        <v>621</v>
      </c>
      <c r="Y33" s="922" t="s">
        <v>621</v>
      </c>
      <c r="Z33" s="922" t="s">
        <v>621</v>
      </c>
      <c r="AA33" s="922" t="s">
        <v>621</v>
      </c>
      <c r="AB33" s="922" t="s">
        <v>621</v>
      </c>
      <c r="AC33" s="922" t="s">
        <v>621</v>
      </c>
      <c r="AD33" s="922" t="s">
        <v>621</v>
      </c>
      <c r="AE33" s="922" t="s">
        <v>621</v>
      </c>
      <c r="AF33" s="922" t="s">
        <v>621</v>
      </c>
      <c r="AG33" s="922" t="s">
        <v>621</v>
      </c>
      <c r="AH33" s="922" t="s">
        <v>621</v>
      </c>
      <c r="AI33" s="922" t="s">
        <v>621</v>
      </c>
      <c r="AJ33" s="922" t="s">
        <v>621</v>
      </c>
      <c r="AK33" s="922" t="s">
        <v>621</v>
      </c>
      <c r="AL33" s="922" t="s">
        <v>621</v>
      </c>
      <c r="AM33" s="922" t="s">
        <v>621</v>
      </c>
      <c r="AN33" s="922" t="s">
        <v>621</v>
      </c>
      <c r="AO33" s="922" t="s">
        <v>621</v>
      </c>
      <c r="AP33" s="922" t="s">
        <v>621</v>
      </c>
      <c r="AQ33" s="922" t="s">
        <v>621</v>
      </c>
      <c r="AR33" s="922" t="s">
        <v>621</v>
      </c>
      <c r="AS33" s="922" t="s">
        <v>621</v>
      </c>
    </row>
    <row r="34" spans="1:45" s="236" customFormat="1" ht="92.25" hidden="1" x14ac:dyDescent="0.45">
      <c r="A34" s="657" t="s">
        <v>541</v>
      </c>
      <c r="B34" s="654" t="s">
        <v>729</v>
      </c>
      <c r="C34" s="922" t="s">
        <v>621</v>
      </c>
      <c r="D34" s="922" t="s">
        <v>621</v>
      </c>
      <c r="E34" s="922" t="s">
        <v>621</v>
      </c>
      <c r="F34" s="922" t="s">
        <v>621</v>
      </c>
      <c r="G34" s="922" t="s">
        <v>621</v>
      </c>
      <c r="H34" s="922" t="s">
        <v>621</v>
      </c>
      <c r="I34" s="922" t="s">
        <v>621</v>
      </c>
      <c r="J34" s="922" t="s">
        <v>621</v>
      </c>
      <c r="K34" s="922" t="s">
        <v>621</v>
      </c>
      <c r="L34" s="922" t="s">
        <v>621</v>
      </c>
      <c r="M34" s="922" t="s">
        <v>621</v>
      </c>
      <c r="N34" s="922" t="s">
        <v>621</v>
      </c>
      <c r="O34" s="922" t="s">
        <v>621</v>
      </c>
      <c r="P34" s="922" t="s">
        <v>621</v>
      </c>
      <c r="Q34" s="922" t="s">
        <v>621</v>
      </c>
      <c r="R34" s="922" t="s">
        <v>621</v>
      </c>
      <c r="S34" s="922" t="s">
        <v>621</v>
      </c>
      <c r="T34" s="922">
        <f t="shared" si="0"/>
        <v>0</v>
      </c>
      <c r="U34" s="922">
        <f t="shared" si="1"/>
        <v>0</v>
      </c>
      <c r="V34" s="922" t="s">
        <v>621</v>
      </c>
      <c r="W34" s="922" t="s">
        <v>621</v>
      </c>
      <c r="X34" s="922" t="s">
        <v>621</v>
      </c>
      <c r="Y34" s="922" t="s">
        <v>621</v>
      </c>
      <c r="Z34" s="922" t="s">
        <v>621</v>
      </c>
      <c r="AA34" s="922" t="s">
        <v>621</v>
      </c>
      <c r="AB34" s="922" t="s">
        <v>621</v>
      </c>
      <c r="AC34" s="922" t="s">
        <v>621</v>
      </c>
      <c r="AD34" s="922" t="s">
        <v>621</v>
      </c>
      <c r="AE34" s="922" t="s">
        <v>621</v>
      </c>
      <c r="AF34" s="922" t="s">
        <v>621</v>
      </c>
      <c r="AG34" s="922" t="s">
        <v>621</v>
      </c>
      <c r="AH34" s="922" t="s">
        <v>621</v>
      </c>
      <c r="AI34" s="922" t="s">
        <v>621</v>
      </c>
      <c r="AJ34" s="922" t="s">
        <v>621</v>
      </c>
      <c r="AK34" s="922" t="s">
        <v>621</v>
      </c>
      <c r="AL34" s="922" t="s">
        <v>621</v>
      </c>
      <c r="AM34" s="922" t="s">
        <v>621</v>
      </c>
      <c r="AN34" s="922" t="s">
        <v>621</v>
      </c>
      <c r="AO34" s="922" t="s">
        <v>621</v>
      </c>
      <c r="AP34" s="922" t="s">
        <v>621</v>
      </c>
      <c r="AQ34" s="922" t="s">
        <v>621</v>
      </c>
      <c r="AR34" s="922" t="s">
        <v>621</v>
      </c>
      <c r="AS34" s="922" t="s">
        <v>621</v>
      </c>
    </row>
    <row r="35" spans="1:45" s="236" customFormat="1" ht="153.75" hidden="1" x14ac:dyDescent="0.45">
      <c r="A35" s="657" t="s">
        <v>572</v>
      </c>
      <c r="B35" s="654" t="s">
        <v>730</v>
      </c>
      <c r="C35" s="922" t="s">
        <v>621</v>
      </c>
      <c r="D35" s="922" t="s">
        <v>621</v>
      </c>
      <c r="E35" s="922" t="s">
        <v>621</v>
      </c>
      <c r="F35" s="922" t="s">
        <v>621</v>
      </c>
      <c r="G35" s="922" t="s">
        <v>621</v>
      </c>
      <c r="H35" s="922" t="s">
        <v>621</v>
      </c>
      <c r="I35" s="922" t="s">
        <v>621</v>
      </c>
      <c r="J35" s="922" t="s">
        <v>621</v>
      </c>
      <c r="K35" s="922" t="s">
        <v>621</v>
      </c>
      <c r="L35" s="922" t="s">
        <v>621</v>
      </c>
      <c r="M35" s="922" t="s">
        <v>621</v>
      </c>
      <c r="N35" s="922" t="s">
        <v>621</v>
      </c>
      <c r="O35" s="922" t="s">
        <v>621</v>
      </c>
      <c r="P35" s="922" t="s">
        <v>621</v>
      </c>
      <c r="Q35" s="922" t="s">
        <v>621</v>
      </c>
      <c r="R35" s="922" t="s">
        <v>621</v>
      </c>
      <c r="S35" s="922" t="s">
        <v>621</v>
      </c>
      <c r="T35" s="922">
        <f t="shared" si="0"/>
        <v>0</v>
      </c>
      <c r="U35" s="922">
        <f t="shared" si="1"/>
        <v>0</v>
      </c>
      <c r="V35" s="922" t="s">
        <v>621</v>
      </c>
      <c r="W35" s="922" t="s">
        <v>621</v>
      </c>
      <c r="X35" s="922" t="s">
        <v>621</v>
      </c>
      <c r="Y35" s="922" t="s">
        <v>621</v>
      </c>
      <c r="Z35" s="922" t="s">
        <v>621</v>
      </c>
      <c r="AA35" s="922" t="s">
        <v>621</v>
      </c>
      <c r="AB35" s="922" t="s">
        <v>621</v>
      </c>
      <c r="AC35" s="922" t="s">
        <v>621</v>
      </c>
      <c r="AD35" s="922" t="s">
        <v>621</v>
      </c>
      <c r="AE35" s="922" t="s">
        <v>621</v>
      </c>
      <c r="AF35" s="922" t="s">
        <v>621</v>
      </c>
      <c r="AG35" s="922" t="s">
        <v>621</v>
      </c>
      <c r="AH35" s="922" t="s">
        <v>621</v>
      </c>
      <c r="AI35" s="922" t="s">
        <v>621</v>
      </c>
      <c r="AJ35" s="922" t="s">
        <v>621</v>
      </c>
      <c r="AK35" s="922" t="s">
        <v>621</v>
      </c>
      <c r="AL35" s="922" t="s">
        <v>621</v>
      </c>
      <c r="AM35" s="922" t="s">
        <v>621</v>
      </c>
      <c r="AN35" s="922" t="s">
        <v>621</v>
      </c>
      <c r="AO35" s="922" t="s">
        <v>621</v>
      </c>
      <c r="AP35" s="922" t="s">
        <v>621</v>
      </c>
      <c r="AQ35" s="922" t="s">
        <v>621</v>
      </c>
      <c r="AR35" s="922" t="s">
        <v>621</v>
      </c>
      <c r="AS35" s="922" t="s">
        <v>621</v>
      </c>
    </row>
    <row r="36" spans="1:45" s="236" customFormat="1" ht="123" hidden="1" x14ac:dyDescent="0.45">
      <c r="A36" s="657" t="s">
        <v>573</v>
      </c>
      <c r="B36" s="654" t="s">
        <v>731</v>
      </c>
      <c r="C36" s="922" t="s">
        <v>621</v>
      </c>
      <c r="D36" s="922" t="s">
        <v>621</v>
      </c>
      <c r="E36" s="922" t="s">
        <v>621</v>
      </c>
      <c r="F36" s="922" t="s">
        <v>621</v>
      </c>
      <c r="G36" s="922" t="s">
        <v>621</v>
      </c>
      <c r="H36" s="922" t="s">
        <v>621</v>
      </c>
      <c r="I36" s="922" t="s">
        <v>621</v>
      </c>
      <c r="J36" s="922" t="s">
        <v>621</v>
      </c>
      <c r="K36" s="922" t="s">
        <v>621</v>
      </c>
      <c r="L36" s="922" t="s">
        <v>621</v>
      </c>
      <c r="M36" s="922" t="s">
        <v>621</v>
      </c>
      <c r="N36" s="922" t="s">
        <v>621</v>
      </c>
      <c r="O36" s="922" t="s">
        <v>621</v>
      </c>
      <c r="P36" s="922" t="s">
        <v>621</v>
      </c>
      <c r="Q36" s="922" t="s">
        <v>621</v>
      </c>
      <c r="R36" s="922" t="s">
        <v>621</v>
      </c>
      <c r="S36" s="922" t="s">
        <v>621</v>
      </c>
      <c r="T36" s="922">
        <f t="shared" si="0"/>
        <v>0</v>
      </c>
      <c r="U36" s="922">
        <f t="shared" si="1"/>
        <v>0</v>
      </c>
      <c r="V36" s="922" t="s">
        <v>621</v>
      </c>
      <c r="W36" s="922" t="s">
        <v>621</v>
      </c>
      <c r="X36" s="922" t="s">
        <v>621</v>
      </c>
      <c r="Y36" s="922" t="s">
        <v>621</v>
      </c>
      <c r="Z36" s="922" t="s">
        <v>621</v>
      </c>
      <c r="AA36" s="922" t="s">
        <v>621</v>
      </c>
      <c r="AB36" s="922" t="s">
        <v>621</v>
      </c>
      <c r="AC36" s="922" t="s">
        <v>621</v>
      </c>
      <c r="AD36" s="922" t="s">
        <v>621</v>
      </c>
      <c r="AE36" s="922" t="s">
        <v>621</v>
      </c>
      <c r="AF36" s="922" t="s">
        <v>621</v>
      </c>
      <c r="AG36" s="922" t="s">
        <v>621</v>
      </c>
      <c r="AH36" s="922" t="s">
        <v>621</v>
      </c>
      <c r="AI36" s="922" t="s">
        <v>621</v>
      </c>
      <c r="AJ36" s="922" t="s">
        <v>621</v>
      </c>
      <c r="AK36" s="922" t="s">
        <v>621</v>
      </c>
      <c r="AL36" s="922" t="s">
        <v>621</v>
      </c>
      <c r="AM36" s="922" t="s">
        <v>621</v>
      </c>
      <c r="AN36" s="922" t="s">
        <v>621</v>
      </c>
      <c r="AO36" s="922" t="s">
        <v>621</v>
      </c>
      <c r="AP36" s="922" t="s">
        <v>621</v>
      </c>
      <c r="AQ36" s="922" t="s">
        <v>621</v>
      </c>
      <c r="AR36" s="922" t="s">
        <v>621</v>
      </c>
      <c r="AS36" s="922" t="s">
        <v>621</v>
      </c>
    </row>
    <row r="37" spans="1:45" s="236" customFormat="1" ht="123" hidden="1" x14ac:dyDescent="0.45">
      <c r="A37" s="657" t="s">
        <v>542</v>
      </c>
      <c r="B37" s="654" t="s">
        <v>732</v>
      </c>
      <c r="C37" s="922" t="s">
        <v>621</v>
      </c>
      <c r="D37" s="922" t="s">
        <v>621</v>
      </c>
      <c r="E37" s="922" t="s">
        <v>621</v>
      </c>
      <c r="F37" s="922" t="s">
        <v>621</v>
      </c>
      <c r="G37" s="922" t="s">
        <v>621</v>
      </c>
      <c r="H37" s="922" t="s">
        <v>621</v>
      </c>
      <c r="I37" s="922" t="s">
        <v>621</v>
      </c>
      <c r="J37" s="922" t="s">
        <v>621</v>
      </c>
      <c r="K37" s="922" t="s">
        <v>621</v>
      </c>
      <c r="L37" s="922" t="s">
        <v>621</v>
      </c>
      <c r="M37" s="922" t="s">
        <v>621</v>
      </c>
      <c r="N37" s="922" t="s">
        <v>621</v>
      </c>
      <c r="O37" s="922" t="s">
        <v>621</v>
      </c>
      <c r="P37" s="922" t="s">
        <v>621</v>
      </c>
      <c r="Q37" s="922" t="s">
        <v>621</v>
      </c>
      <c r="R37" s="922" t="s">
        <v>621</v>
      </c>
      <c r="S37" s="922" t="s">
        <v>621</v>
      </c>
      <c r="T37" s="922">
        <f t="shared" si="0"/>
        <v>2658</v>
      </c>
      <c r="U37" s="922">
        <f t="shared" si="1"/>
        <v>2658</v>
      </c>
      <c r="V37" s="922" t="s">
        <v>621</v>
      </c>
      <c r="W37" s="922" t="s">
        <v>621</v>
      </c>
      <c r="X37" s="922" t="s">
        <v>621</v>
      </c>
      <c r="Y37" s="922" t="s">
        <v>621</v>
      </c>
      <c r="Z37" s="922" t="s">
        <v>621</v>
      </c>
      <c r="AA37" s="922" t="s">
        <v>621</v>
      </c>
      <c r="AB37" s="922" t="s">
        <v>621</v>
      </c>
      <c r="AC37" s="922" t="s">
        <v>621</v>
      </c>
      <c r="AD37" s="922" t="s">
        <v>621</v>
      </c>
      <c r="AE37" s="922" t="s">
        <v>621</v>
      </c>
      <c r="AF37" s="922" t="s">
        <v>621</v>
      </c>
      <c r="AG37" s="922" t="s">
        <v>621</v>
      </c>
      <c r="AH37" s="922" t="s">
        <v>621</v>
      </c>
      <c r="AI37" s="922" t="s">
        <v>621</v>
      </c>
      <c r="AJ37" s="922" t="s">
        <v>621</v>
      </c>
      <c r="AK37" s="922" t="s">
        <v>621</v>
      </c>
      <c r="AL37" s="922" t="s">
        <v>621</v>
      </c>
      <c r="AM37" s="922" t="s">
        <v>621</v>
      </c>
      <c r="AN37" s="922" t="s">
        <v>621</v>
      </c>
      <c r="AO37" s="922" t="s">
        <v>621</v>
      </c>
      <c r="AP37" s="922" t="s">
        <v>621</v>
      </c>
      <c r="AQ37" s="922" t="s">
        <v>621</v>
      </c>
      <c r="AR37" s="922" t="s">
        <v>621</v>
      </c>
      <c r="AS37" s="922" t="s">
        <v>621</v>
      </c>
    </row>
    <row r="38" spans="1:45" s="236" customFormat="1" ht="92.25" hidden="1" x14ac:dyDescent="0.45">
      <c r="A38" s="657"/>
      <c r="B38" s="654" t="s">
        <v>733</v>
      </c>
      <c r="C38" s="922" t="s">
        <v>621</v>
      </c>
      <c r="D38" s="922" t="s">
        <v>621</v>
      </c>
      <c r="E38" s="922" t="s">
        <v>621</v>
      </c>
      <c r="F38" s="922" t="s">
        <v>621</v>
      </c>
      <c r="G38" s="922" t="s">
        <v>621</v>
      </c>
      <c r="H38" s="922" t="s">
        <v>621</v>
      </c>
      <c r="I38" s="922" t="s">
        <v>621</v>
      </c>
      <c r="J38" s="922" t="s">
        <v>621</v>
      </c>
      <c r="K38" s="922" t="s">
        <v>621</v>
      </c>
      <c r="L38" s="922" t="s">
        <v>621</v>
      </c>
      <c r="M38" s="922" t="s">
        <v>621</v>
      </c>
      <c r="N38" s="922" t="s">
        <v>621</v>
      </c>
      <c r="O38" s="922" t="s">
        <v>621</v>
      </c>
      <c r="P38" s="922" t="s">
        <v>621</v>
      </c>
      <c r="Q38" s="922" t="s">
        <v>621</v>
      </c>
      <c r="R38" s="922" t="s">
        <v>621</v>
      </c>
      <c r="S38" s="922" t="s">
        <v>621</v>
      </c>
      <c r="T38" s="922" t="str">
        <f t="shared" si="0"/>
        <v>нд</v>
      </c>
      <c r="U38" s="922" t="str">
        <f t="shared" si="1"/>
        <v>нд</v>
      </c>
      <c r="V38" s="922" t="s">
        <v>621</v>
      </c>
      <c r="W38" s="922" t="s">
        <v>621</v>
      </c>
      <c r="X38" s="922" t="s">
        <v>621</v>
      </c>
      <c r="Y38" s="922" t="s">
        <v>621</v>
      </c>
      <c r="Z38" s="922" t="s">
        <v>621</v>
      </c>
      <c r="AA38" s="922" t="s">
        <v>621</v>
      </c>
      <c r="AB38" s="922" t="s">
        <v>621</v>
      </c>
      <c r="AC38" s="922" t="s">
        <v>621</v>
      </c>
      <c r="AD38" s="922" t="s">
        <v>621</v>
      </c>
      <c r="AE38" s="922" t="s">
        <v>621</v>
      </c>
      <c r="AF38" s="922" t="s">
        <v>621</v>
      </c>
      <c r="AG38" s="922" t="s">
        <v>621</v>
      </c>
      <c r="AH38" s="922" t="s">
        <v>621</v>
      </c>
      <c r="AI38" s="922" t="s">
        <v>621</v>
      </c>
      <c r="AJ38" s="922" t="s">
        <v>621</v>
      </c>
      <c r="AK38" s="922" t="s">
        <v>621</v>
      </c>
      <c r="AL38" s="922" t="s">
        <v>621</v>
      </c>
      <c r="AM38" s="922" t="s">
        <v>621</v>
      </c>
      <c r="AN38" s="922" t="s">
        <v>621</v>
      </c>
      <c r="AO38" s="922" t="s">
        <v>621</v>
      </c>
      <c r="AP38" s="922" t="s">
        <v>621</v>
      </c>
      <c r="AQ38" s="922" t="s">
        <v>621</v>
      </c>
      <c r="AR38" s="922" t="s">
        <v>621</v>
      </c>
      <c r="AS38" s="922" t="s">
        <v>621</v>
      </c>
    </row>
    <row r="39" spans="1:45" s="236" customFormat="1" ht="276.75" hidden="1" x14ac:dyDescent="0.45">
      <c r="A39" s="657" t="s">
        <v>576</v>
      </c>
      <c r="B39" s="654" t="s">
        <v>734</v>
      </c>
      <c r="C39" s="922" t="s">
        <v>621</v>
      </c>
      <c r="D39" s="922" t="s">
        <v>621</v>
      </c>
      <c r="E39" s="922" t="s">
        <v>621</v>
      </c>
      <c r="F39" s="922" t="s">
        <v>621</v>
      </c>
      <c r="G39" s="922" t="s">
        <v>621</v>
      </c>
      <c r="H39" s="922" t="s">
        <v>621</v>
      </c>
      <c r="I39" s="922" t="s">
        <v>621</v>
      </c>
      <c r="J39" s="922" t="s">
        <v>621</v>
      </c>
      <c r="K39" s="922" t="s">
        <v>621</v>
      </c>
      <c r="L39" s="922" t="s">
        <v>621</v>
      </c>
      <c r="M39" s="922" t="s">
        <v>621</v>
      </c>
      <c r="N39" s="922" t="s">
        <v>621</v>
      </c>
      <c r="O39" s="922" t="s">
        <v>621</v>
      </c>
      <c r="P39" s="922" t="s">
        <v>621</v>
      </c>
      <c r="Q39" s="922" t="s">
        <v>621</v>
      </c>
      <c r="R39" s="922" t="s">
        <v>621</v>
      </c>
      <c r="S39" s="922" t="s">
        <v>621</v>
      </c>
      <c r="T39" s="922" t="str">
        <f t="shared" si="0"/>
        <v>нд</v>
      </c>
      <c r="U39" s="922" t="str">
        <f t="shared" si="1"/>
        <v>нд</v>
      </c>
      <c r="V39" s="922" t="s">
        <v>621</v>
      </c>
      <c r="W39" s="922" t="s">
        <v>621</v>
      </c>
      <c r="X39" s="922" t="s">
        <v>621</v>
      </c>
      <c r="Y39" s="922" t="s">
        <v>621</v>
      </c>
      <c r="Z39" s="922" t="s">
        <v>621</v>
      </c>
      <c r="AA39" s="922" t="s">
        <v>621</v>
      </c>
      <c r="AB39" s="922" t="s">
        <v>621</v>
      </c>
      <c r="AC39" s="922" t="s">
        <v>621</v>
      </c>
      <c r="AD39" s="922" t="s">
        <v>621</v>
      </c>
      <c r="AE39" s="922" t="s">
        <v>621</v>
      </c>
      <c r="AF39" s="922" t="s">
        <v>621</v>
      </c>
      <c r="AG39" s="922" t="s">
        <v>621</v>
      </c>
      <c r="AH39" s="922" t="s">
        <v>621</v>
      </c>
      <c r="AI39" s="922" t="s">
        <v>621</v>
      </c>
      <c r="AJ39" s="922" t="s">
        <v>621</v>
      </c>
      <c r="AK39" s="922" t="s">
        <v>621</v>
      </c>
      <c r="AL39" s="922" t="s">
        <v>621</v>
      </c>
      <c r="AM39" s="922" t="s">
        <v>621</v>
      </c>
      <c r="AN39" s="922" t="s">
        <v>621</v>
      </c>
      <c r="AO39" s="922" t="s">
        <v>621</v>
      </c>
      <c r="AP39" s="922" t="s">
        <v>621</v>
      </c>
      <c r="AQ39" s="922" t="s">
        <v>621</v>
      </c>
      <c r="AR39" s="922" t="s">
        <v>621</v>
      </c>
      <c r="AS39" s="922" t="s">
        <v>621</v>
      </c>
    </row>
    <row r="40" spans="1:45" s="236" customFormat="1" ht="246" hidden="1" x14ac:dyDescent="0.45">
      <c r="A40" s="657" t="s">
        <v>577</v>
      </c>
      <c r="B40" s="654" t="s">
        <v>735</v>
      </c>
      <c r="C40" s="922" t="s">
        <v>621</v>
      </c>
      <c r="D40" s="922" t="s">
        <v>621</v>
      </c>
      <c r="E40" s="922" t="s">
        <v>621</v>
      </c>
      <c r="F40" s="922" t="s">
        <v>621</v>
      </c>
      <c r="G40" s="922" t="s">
        <v>621</v>
      </c>
      <c r="H40" s="922" t="s">
        <v>621</v>
      </c>
      <c r="I40" s="922" t="s">
        <v>621</v>
      </c>
      <c r="J40" s="922" t="s">
        <v>621</v>
      </c>
      <c r="K40" s="922" t="s">
        <v>621</v>
      </c>
      <c r="L40" s="922" t="s">
        <v>621</v>
      </c>
      <c r="M40" s="922" t="s">
        <v>621</v>
      </c>
      <c r="N40" s="922" t="s">
        <v>621</v>
      </c>
      <c r="O40" s="922" t="s">
        <v>621</v>
      </c>
      <c r="P40" s="922" t="s">
        <v>621</v>
      </c>
      <c r="Q40" s="922" t="s">
        <v>621</v>
      </c>
      <c r="R40" s="922" t="s">
        <v>621</v>
      </c>
      <c r="S40" s="922" t="s">
        <v>621</v>
      </c>
      <c r="T40" s="922" t="str">
        <f t="shared" si="0"/>
        <v>нд</v>
      </c>
      <c r="U40" s="922" t="str">
        <f t="shared" si="1"/>
        <v>нд</v>
      </c>
      <c r="V40" s="922" t="s">
        <v>621</v>
      </c>
      <c r="W40" s="922" t="s">
        <v>621</v>
      </c>
      <c r="X40" s="922" t="s">
        <v>621</v>
      </c>
      <c r="Y40" s="922" t="s">
        <v>621</v>
      </c>
      <c r="Z40" s="922" t="s">
        <v>621</v>
      </c>
      <c r="AA40" s="922" t="s">
        <v>621</v>
      </c>
      <c r="AB40" s="922" t="s">
        <v>621</v>
      </c>
      <c r="AC40" s="922" t="s">
        <v>621</v>
      </c>
      <c r="AD40" s="922" t="s">
        <v>621</v>
      </c>
      <c r="AE40" s="922" t="s">
        <v>621</v>
      </c>
      <c r="AF40" s="922" t="s">
        <v>621</v>
      </c>
      <c r="AG40" s="922" t="s">
        <v>621</v>
      </c>
      <c r="AH40" s="922" t="s">
        <v>621</v>
      </c>
      <c r="AI40" s="922" t="s">
        <v>621</v>
      </c>
      <c r="AJ40" s="922" t="s">
        <v>621</v>
      </c>
      <c r="AK40" s="922" t="s">
        <v>621</v>
      </c>
      <c r="AL40" s="922" t="s">
        <v>621</v>
      </c>
      <c r="AM40" s="922" t="s">
        <v>621</v>
      </c>
      <c r="AN40" s="922" t="s">
        <v>621</v>
      </c>
      <c r="AO40" s="922" t="s">
        <v>621</v>
      </c>
      <c r="AP40" s="922" t="s">
        <v>621</v>
      </c>
      <c r="AQ40" s="922" t="s">
        <v>621</v>
      </c>
      <c r="AR40" s="922" t="s">
        <v>621</v>
      </c>
      <c r="AS40" s="922" t="s">
        <v>621</v>
      </c>
    </row>
    <row r="41" spans="1:45" s="236" customFormat="1" ht="276.75" hidden="1" x14ac:dyDescent="0.45">
      <c r="A41" s="657" t="s">
        <v>578</v>
      </c>
      <c r="B41" s="654" t="s">
        <v>736</v>
      </c>
      <c r="C41" s="922" t="s">
        <v>621</v>
      </c>
      <c r="D41" s="922" t="s">
        <v>621</v>
      </c>
      <c r="E41" s="922" t="s">
        <v>621</v>
      </c>
      <c r="F41" s="922" t="s">
        <v>621</v>
      </c>
      <c r="G41" s="922" t="s">
        <v>621</v>
      </c>
      <c r="H41" s="922" t="s">
        <v>621</v>
      </c>
      <c r="I41" s="922" t="s">
        <v>621</v>
      </c>
      <c r="J41" s="922" t="s">
        <v>621</v>
      </c>
      <c r="K41" s="922" t="s">
        <v>621</v>
      </c>
      <c r="L41" s="922" t="s">
        <v>621</v>
      </c>
      <c r="M41" s="922" t="s">
        <v>621</v>
      </c>
      <c r="N41" s="922" t="s">
        <v>621</v>
      </c>
      <c r="O41" s="922" t="s">
        <v>621</v>
      </c>
      <c r="P41" s="922" t="s">
        <v>621</v>
      </c>
      <c r="Q41" s="922" t="s">
        <v>621</v>
      </c>
      <c r="R41" s="922" t="s">
        <v>621</v>
      </c>
      <c r="S41" s="922" t="s">
        <v>621</v>
      </c>
      <c r="T41" s="922" t="str">
        <f t="shared" si="0"/>
        <v>нд</v>
      </c>
      <c r="U41" s="922" t="str">
        <f t="shared" si="1"/>
        <v>нд</v>
      </c>
      <c r="V41" s="922" t="s">
        <v>621</v>
      </c>
      <c r="W41" s="922" t="s">
        <v>621</v>
      </c>
      <c r="X41" s="922" t="s">
        <v>621</v>
      </c>
      <c r="Y41" s="922" t="s">
        <v>621</v>
      </c>
      <c r="Z41" s="922" t="s">
        <v>621</v>
      </c>
      <c r="AA41" s="922" t="s">
        <v>621</v>
      </c>
      <c r="AB41" s="922" t="s">
        <v>621</v>
      </c>
      <c r="AC41" s="922" t="s">
        <v>621</v>
      </c>
      <c r="AD41" s="922" t="s">
        <v>621</v>
      </c>
      <c r="AE41" s="922" t="s">
        <v>621</v>
      </c>
      <c r="AF41" s="922" t="s">
        <v>621</v>
      </c>
      <c r="AG41" s="922" t="s">
        <v>621</v>
      </c>
      <c r="AH41" s="922" t="s">
        <v>621</v>
      </c>
      <c r="AI41" s="922" t="s">
        <v>621</v>
      </c>
      <c r="AJ41" s="922" t="s">
        <v>621</v>
      </c>
      <c r="AK41" s="922" t="s">
        <v>621</v>
      </c>
      <c r="AL41" s="922" t="s">
        <v>621</v>
      </c>
      <c r="AM41" s="922" t="s">
        <v>621</v>
      </c>
      <c r="AN41" s="922" t="s">
        <v>621</v>
      </c>
      <c r="AO41" s="922" t="s">
        <v>621</v>
      </c>
      <c r="AP41" s="922" t="s">
        <v>621</v>
      </c>
      <c r="AQ41" s="922" t="s">
        <v>621</v>
      </c>
      <c r="AR41" s="922" t="s">
        <v>621</v>
      </c>
      <c r="AS41" s="922" t="s">
        <v>621</v>
      </c>
    </row>
    <row r="42" spans="1:45" s="236" customFormat="1" ht="246" hidden="1" x14ac:dyDescent="0.45">
      <c r="A42" s="657" t="s">
        <v>543</v>
      </c>
      <c r="B42" s="654" t="s">
        <v>693</v>
      </c>
      <c r="C42" s="922" t="s">
        <v>621</v>
      </c>
      <c r="D42" s="922" t="s">
        <v>621</v>
      </c>
      <c r="E42" s="922" t="s">
        <v>621</v>
      </c>
      <c r="F42" s="922" t="s">
        <v>621</v>
      </c>
      <c r="G42" s="922" t="s">
        <v>621</v>
      </c>
      <c r="H42" s="922" t="s">
        <v>621</v>
      </c>
      <c r="I42" s="922" t="s">
        <v>621</v>
      </c>
      <c r="J42" s="922" t="s">
        <v>621</v>
      </c>
      <c r="K42" s="922" t="s">
        <v>621</v>
      </c>
      <c r="L42" s="922" t="s">
        <v>621</v>
      </c>
      <c r="M42" s="922" t="s">
        <v>621</v>
      </c>
      <c r="N42" s="922" t="s">
        <v>621</v>
      </c>
      <c r="O42" s="922" t="s">
        <v>621</v>
      </c>
      <c r="P42" s="922" t="s">
        <v>621</v>
      </c>
      <c r="Q42" s="922" t="s">
        <v>621</v>
      </c>
      <c r="R42" s="922" t="s">
        <v>621</v>
      </c>
      <c r="S42" s="922" t="s">
        <v>621</v>
      </c>
      <c r="T42" s="922" t="str">
        <f t="shared" si="0"/>
        <v>нд</v>
      </c>
      <c r="U42" s="922" t="str">
        <f t="shared" si="1"/>
        <v>нд</v>
      </c>
      <c r="V42" s="922" t="s">
        <v>621</v>
      </c>
      <c r="W42" s="922" t="s">
        <v>621</v>
      </c>
      <c r="X42" s="922" t="s">
        <v>621</v>
      </c>
      <c r="Y42" s="922" t="s">
        <v>621</v>
      </c>
      <c r="Z42" s="922" t="s">
        <v>621</v>
      </c>
      <c r="AA42" s="922" t="s">
        <v>621</v>
      </c>
      <c r="AB42" s="922" t="s">
        <v>621</v>
      </c>
      <c r="AC42" s="922" t="s">
        <v>621</v>
      </c>
      <c r="AD42" s="922" t="s">
        <v>621</v>
      </c>
      <c r="AE42" s="922" t="s">
        <v>621</v>
      </c>
      <c r="AF42" s="922" t="s">
        <v>621</v>
      </c>
      <c r="AG42" s="922" t="s">
        <v>621</v>
      </c>
      <c r="AH42" s="922" t="s">
        <v>621</v>
      </c>
      <c r="AI42" s="922" t="s">
        <v>621</v>
      </c>
      <c r="AJ42" s="922" t="s">
        <v>621</v>
      </c>
      <c r="AK42" s="922" t="s">
        <v>621</v>
      </c>
      <c r="AL42" s="922" t="s">
        <v>621</v>
      </c>
      <c r="AM42" s="922" t="s">
        <v>621</v>
      </c>
      <c r="AN42" s="922" t="s">
        <v>621</v>
      </c>
      <c r="AO42" s="922" t="s">
        <v>621</v>
      </c>
      <c r="AP42" s="922" t="s">
        <v>621</v>
      </c>
      <c r="AQ42" s="922" t="s">
        <v>621</v>
      </c>
      <c r="AR42" s="922" t="s">
        <v>621</v>
      </c>
      <c r="AS42" s="922" t="s">
        <v>621</v>
      </c>
    </row>
    <row r="43" spans="1:45" s="236" customFormat="1" ht="215.25" hidden="1" x14ac:dyDescent="0.45">
      <c r="A43" s="657" t="s">
        <v>580</v>
      </c>
      <c r="B43" s="654" t="s">
        <v>694</v>
      </c>
      <c r="C43" s="922" t="s">
        <v>621</v>
      </c>
      <c r="D43" s="922" t="s">
        <v>621</v>
      </c>
      <c r="E43" s="922" t="s">
        <v>621</v>
      </c>
      <c r="F43" s="922" t="s">
        <v>621</v>
      </c>
      <c r="G43" s="922" t="s">
        <v>621</v>
      </c>
      <c r="H43" s="922" t="s">
        <v>621</v>
      </c>
      <c r="I43" s="922" t="s">
        <v>621</v>
      </c>
      <c r="J43" s="922" t="s">
        <v>621</v>
      </c>
      <c r="K43" s="922" t="s">
        <v>621</v>
      </c>
      <c r="L43" s="922" t="s">
        <v>621</v>
      </c>
      <c r="M43" s="922" t="s">
        <v>621</v>
      </c>
      <c r="N43" s="922" t="s">
        <v>621</v>
      </c>
      <c r="O43" s="922" t="s">
        <v>621</v>
      </c>
      <c r="P43" s="922" t="s">
        <v>621</v>
      </c>
      <c r="Q43" s="922" t="s">
        <v>621</v>
      </c>
      <c r="R43" s="922" t="s">
        <v>621</v>
      </c>
      <c r="S43" s="922" t="s">
        <v>621</v>
      </c>
      <c r="T43" s="922" t="str">
        <f t="shared" si="0"/>
        <v>нд</v>
      </c>
      <c r="U43" s="922" t="str">
        <f t="shared" si="1"/>
        <v>нд</v>
      </c>
      <c r="V43" s="922" t="s">
        <v>621</v>
      </c>
      <c r="W43" s="922" t="s">
        <v>621</v>
      </c>
      <c r="X43" s="922" t="s">
        <v>621</v>
      </c>
      <c r="Y43" s="922" t="s">
        <v>621</v>
      </c>
      <c r="Z43" s="922" t="s">
        <v>621</v>
      </c>
      <c r="AA43" s="922" t="s">
        <v>621</v>
      </c>
      <c r="AB43" s="922" t="s">
        <v>621</v>
      </c>
      <c r="AC43" s="922" t="s">
        <v>621</v>
      </c>
      <c r="AD43" s="922" t="s">
        <v>621</v>
      </c>
      <c r="AE43" s="922" t="s">
        <v>621</v>
      </c>
      <c r="AF43" s="922" t="s">
        <v>621</v>
      </c>
      <c r="AG43" s="922" t="s">
        <v>621</v>
      </c>
      <c r="AH43" s="922" t="s">
        <v>621</v>
      </c>
      <c r="AI43" s="922" t="s">
        <v>621</v>
      </c>
      <c r="AJ43" s="922" t="s">
        <v>621</v>
      </c>
      <c r="AK43" s="922" t="s">
        <v>621</v>
      </c>
      <c r="AL43" s="922" t="s">
        <v>621</v>
      </c>
      <c r="AM43" s="922" t="s">
        <v>621</v>
      </c>
      <c r="AN43" s="922" t="s">
        <v>621</v>
      </c>
      <c r="AO43" s="922" t="s">
        <v>621</v>
      </c>
      <c r="AP43" s="922" t="s">
        <v>621</v>
      </c>
      <c r="AQ43" s="922" t="s">
        <v>621</v>
      </c>
      <c r="AR43" s="922" t="s">
        <v>621</v>
      </c>
      <c r="AS43" s="922" t="s">
        <v>621</v>
      </c>
    </row>
    <row r="44" spans="1:45" s="236" customFormat="1" ht="85.5" hidden="1" customHeight="1" x14ac:dyDescent="0.45">
      <c r="A44" s="657" t="s">
        <v>581</v>
      </c>
      <c r="B44" s="982" t="s">
        <v>744</v>
      </c>
      <c r="C44" s="922" t="s">
        <v>621</v>
      </c>
      <c r="D44" s="922" t="s">
        <v>621</v>
      </c>
      <c r="E44" s="922" t="s">
        <v>621</v>
      </c>
      <c r="F44" s="922" t="s">
        <v>621</v>
      </c>
      <c r="G44" s="922" t="s">
        <v>621</v>
      </c>
      <c r="H44" s="922" t="s">
        <v>621</v>
      </c>
      <c r="I44" s="922" t="s">
        <v>621</v>
      </c>
      <c r="J44" s="922" t="s">
        <v>621</v>
      </c>
      <c r="K44" s="922" t="s">
        <v>621</v>
      </c>
      <c r="L44" s="922" t="s">
        <v>621</v>
      </c>
      <c r="M44" s="922" t="s">
        <v>621</v>
      </c>
      <c r="N44" s="922" t="s">
        <v>621</v>
      </c>
      <c r="O44" s="922" t="s">
        <v>621</v>
      </c>
      <c r="P44" s="922" t="s">
        <v>621</v>
      </c>
      <c r="Q44" s="922" t="s">
        <v>621</v>
      </c>
      <c r="R44" s="922" t="s">
        <v>621</v>
      </c>
      <c r="S44" s="922" t="s">
        <v>621</v>
      </c>
      <c r="T44" s="922" t="str">
        <f t="shared" si="0"/>
        <v>нд</v>
      </c>
      <c r="U44" s="922" t="str">
        <f t="shared" si="1"/>
        <v>нд</v>
      </c>
      <c r="V44" s="922" t="s">
        <v>621</v>
      </c>
      <c r="W44" s="922" t="s">
        <v>621</v>
      </c>
      <c r="X44" s="922" t="s">
        <v>621</v>
      </c>
      <c r="Y44" s="922" t="s">
        <v>621</v>
      </c>
      <c r="Z44" s="922" t="s">
        <v>621</v>
      </c>
      <c r="AA44" s="922" t="s">
        <v>621</v>
      </c>
      <c r="AB44" s="922" t="s">
        <v>621</v>
      </c>
      <c r="AC44" s="922" t="s">
        <v>621</v>
      </c>
      <c r="AD44" s="922" t="s">
        <v>621</v>
      </c>
      <c r="AE44" s="922" t="s">
        <v>621</v>
      </c>
      <c r="AF44" s="922" t="s">
        <v>621</v>
      </c>
      <c r="AG44" s="922" t="s">
        <v>621</v>
      </c>
      <c r="AH44" s="922" t="s">
        <v>621</v>
      </c>
      <c r="AI44" s="922" t="s">
        <v>621</v>
      </c>
      <c r="AJ44" s="922" t="s">
        <v>621</v>
      </c>
      <c r="AK44" s="922" t="s">
        <v>621</v>
      </c>
      <c r="AL44" s="922" t="s">
        <v>621</v>
      </c>
      <c r="AM44" s="922" t="s">
        <v>621</v>
      </c>
      <c r="AN44" s="922" t="s">
        <v>621</v>
      </c>
      <c r="AO44" s="922" t="s">
        <v>621</v>
      </c>
      <c r="AP44" s="922" t="s">
        <v>621</v>
      </c>
      <c r="AQ44" s="922" t="s">
        <v>621</v>
      </c>
      <c r="AR44" s="922" t="s">
        <v>621</v>
      </c>
      <c r="AS44" s="922" t="s">
        <v>621</v>
      </c>
    </row>
    <row r="45" spans="1:45" s="445" customFormat="1" ht="118.5" customHeight="1" x14ac:dyDescent="0.45">
      <c r="A45" s="963" t="s">
        <v>539</v>
      </c>
      <c r="B45" s="964" t="s">
        <v>695</v>
      </c>
      <c r="C45" s="983" t="s">
        <v>621</v>
      </c>
      <c r="D45" s="983" t="s">
        <v>621</v>
      </c>
      <c r="E45" s="983" t="s">
        <v>621</v>
      </c>
      <c r="F45" s="983" t="s">
        <v>621</v>
      </c>
      <c r="G45" s="983" t="s">
        <v>621</v>
      </c>
      <c r="H45" s="983" t="s">
        <v>621</v>
      </c>
      <c r="I45" s="983" t="s">
        <v>621</v>
      </c>
      <c r="J45" s="983">
        <f>J64</f>
        <v>2.06</v>
      </c>
      <c r="K45" s="983">
        <v>1.26</v>
      </c>
      <c r="L45" s="983">
        <f>L64</f>
        <v>38</v>
      </c>
      <c r="M45" s="983">
        <f>M64</f>
        <v>42</v>
      </c>
      <c r="N45" s="983">
        <v>3.875</v>
      </c>
      <c r="O45" s="983">
        <f>O49</f>
        <v>8.2680000000000007</v>
      </c>
      <c r="P45" s="983" t="s">
        <v>621</v>
      </c>
      <c r="Q45" s="983" t="s">
        <v>621</v>
      </c>
      <c r="R45" s="983" t="s">
        <v>621</v>
      </c>
      <c r="S45" s="983" t="s">
        <v>621</v>
      </c>
      <c r="T45" s="624">
        <f>T54</f>
        <v>2658</v>
      </c>
      <c r="U45" s="624">
        <f>U54</f>
        <v>2658</v>
      </c>
      <c r="V45" s="983" t="s">
        <v>621</v>
      </c>
      <c r="W45" s="983" t="s">
        <v>621</v>
      </c>
      <c r="X45" s="983" t="s">
        <v>621</v>
      </c>
      <c r="Y45" s="983" t="s">
        <v>621</v>
      </c>
      <c r="Z45" s="983" t="s">
        <v>621</v>
      </c>
      <c r="AA45" s="983" t="s">
        <v>621</v>
      </c>
      <c r="AB45" s="983" t="s">
        <v>621</v>
      </c>
      <c r="AC45" s="983" t="s">
        <v>621</v>
      </c>
      <c r="AD45" s="983" t="s">
        <v>621</v>
      </c>
      <c r="AE45" s="983" t="s">
        <v>621</v>
      </c>
      <c r="AF45" s="983" t="s">
        <v>621</v>
      </c>
      <c r="AG45" s="983" t="s">
        <v>621</v>
      </c>
      <c r="AH45" s="983" t="s">
        <v>621</v>
      </c>
      <c r="AI45" s="983" t="s">
        <v>621</v>
      </c>
      <c r="AJ45" s="983" t="s">
        <v>621</v>
      </c>
      <c r="AK45" s="983" t="s">
        <v>621</v>
      </c>
      <c r="AL45" s="983" t="s">
        <v>621</v>
      </c>
      <c r="AM45" s="983" t="s">
        <v>621</v>
      </c>
      <c r="AN45" s="983" t="s">
        <v>621</v>
      </c>
      <c r="AO45" s="983" t="s">
        <v>621</v>
      </c>
      <c r="AP45" s="983" t="s">
        <v>621</v>
      </c>
      <c r="AQ45" s="983" t="s">
        <v>621</v>
      </c>
      <c r="AR45" s="983" t="s">
        <v>621</v>
      </c>
      <c r="AS45" s="983" t="s">
        <v>621</v>
      </c>
    </row>
    <row r="46" spans="1:45" s="236" customFormat="1" ht="63.75" hidden="1" customHeight="1" x14ac:dyDescent="0.45">
      <c r="A46" s="662" t="s">
        <v>544</v>
      </c>
      <c r="B46" s="663" t="s">
        <v>696</v>
      </c>
      <c r="C46" s="624" t="s">
        <v>621</v>
      </c>
      <c r="D46" s="624" t="s">
        <v>621</v>
      </c>
      <c r="E46" s="624" t="s">
        <v>621</v>
      </c>
      <c r="F46" s="624" t="s">
        <v>621</v>
      </c>
      <c r="G46" s="624" t="s">
        <v>621</v>
      </c>
      <c r="H46" s="624" t="s">
        <v>621</v>
      </c>
      <c r="I46" s="624" t="s">
        <v>621</v>
      </c>
      <c r="J46" s="624" t="s">
        <v>621</v>
      </c>
      <c r="K46" s="624" t="s">
        <v>621</v>
      </c>
      <c r="L46" s="624" t="s">
        <v>621</v>
      </c>
      <c r="M46" s="624" t="s">
        <v>621</v>
      </c>
      <c r="N46" s="624" t="s">
        <v>621</v>
      </c>
      <c r="O46" s="624" t="s">
        <v>621</v>
      </c>
      <c r="P46" s="624" t="s">
        <v>621</v>
      </c>
      <c r="Q46" s="624" t="s">
        <v>621</v>
      </c>
      <c r="R46" s="624" t="s">
        <v>621</v>
      </c>
      <c r="S46" s="624" t="s">
        <v>621</v>
      </c>
      <c r="T46" s="624" t="s">
        <v>621</v>
      </c>
      <c r="U46" s="624" t="s">
        <v>621</v>
      </c>
      <c r="V46" s="624" t="s">
        <v>621</v>
      </c>
      <c r="W46" s="624" t="s">
        <v>621</v>
      </c>
      <c r="X46" s="624" t="s">
        <v>621</v>
      </c>
      <c r="Y46" s="624" t="s">
        <v>621</v>
      </c>
      <c r="Z46" s="624" t="s">
        <v>621</v>
      </c>
      <c r="AA46" s="624" t="s">
        <v>621</v>
      </c>
      <c r="AB46" s="624" t="s">
        <v>621</v>
      </c>
      <c r="AC46" s="624" t="s">
        <v>621</v>
      </c>
      <c r="AD46" s="624" t="s">
        <v>621</v>
      </c>
      <c r="AE46" s="624" t="s">
        <v>621</v>
      </c>
      <c r="AF46" s="624" t="s">
        <v>621</v>
      </c>
      <c r="AG46" s="624" t="s">
        <v>621</v>
      </c>
      <c r="AH46" s="624" t="s">
        <v>621</v>
      </c>
      <c r="AI46" s="624" t="s">
        <v>621</v>
      </c>
      <c r="AJ46" s="624" t="s">
        <v>621</v>
      </c>
      <c r="AK46" s="624" t="s">
        <v>621</v>
      </c>
      <c r="AL46" s="624" t="s">
        <v>621</v>
      </c>
      <c r="AM46" s="624" t="s">
        <v>621</v>
      </c>
      <c r="AN46" s="624" t="s">
        <v>621</v>
      </c>
      <c r="AO46" s="624" t="s">
        <v>621</v>
      </c>
      <c r="AP46" s="624" t="s">
        <v>621</v>
      </c>
      <c r="AQ46" s="624" t="s">
        <v>621</v>
      </c>
      <c r="AR46" s="624" t="s">
        <v>621</v>
      </c>
      <c r="AS46" s="624" t="s">
        <v>621</v>
      </c>
    </row>
    <row r="47" spans="1:45" s="236" customFormat="1" ht="123" hidden="1" x14ac:dyDescent="0.45">
      <c r="A47" s="662" t="s">
        <v>591</v>
      </c>
      <c r="B47" s="663" t="s">
        <v>745</v>
      </c>
      <c r="C47" s="624" t="s">
        <v>621</v>
      </c>
      <c r="D47" s="624" t="s">
        <v>621</v>
      </c>
      <c r="E47" s="624" t="s">
        <v>621</v>
      </c>
      <c r="F47" s="624" t="s">
        <v>621</v>
      </c>
      <c r="G47" s="624" t="s">
        <v>621</v>
      </c>
      <c r="H47" s="624" t="s">
        <v>621</v>
      </c>
      <c r="I47" s="624" t="s">
        <v>621</v>
      </c>
      <c r="J47" s="624" t="s">
        <v>621</v>
      </c>
      <c r="K47" s="624" t="s">
        <v>621</v>
      </c>
      <c r="L47" s="624" t="s">
        <v>621</v>
      </c>
      <c r="M47" s="624" t="s">
        <v>621</v>
      </c>
      <c r="N47" s="624" t="s">
        <v>621</v>
      </c>
      <c r="O47" s="624" t="s">
        <v>621</v>
      </c>
      <c r="P47" s="624" t="s">
        <v>621</v>
      </c>
      <c r="Q47" s="624" t="s">
        <v>621</v>
      </c>
      <c r="R47" s="624" t="s">
        <v>621</v>
      </c>
      <c r="S47" s="624" t="s">
        <v>621</v>
      </c>
      <c r="T47" s="624" t="s">
        <v>621</v>
      </c>
      <c r="U47" s="624" t="s">
        <v>621</v>
      </c>
      <c r="V47" s="624" t="s">
        <v>621</v>
      </c>
      <c r="W47" s="624" t="s">
        <v>621</v>
      </c>
      <c r="X47" s="624" t="s">
        <v>621</v>
      </c>
      <c r="Y47" s="624" t="s">
        <v>621</v>
      </c>
      <c r="Z47" s="624" t="s">
        <v>621</v>
      </c>
      <c r="AA47" s="624" t="s">
        <v>621</v>
      </c>
      <c r="AB47" s="624" t="s">
        <v>621</v>
      </c>
      <c r="AC47" s="624" t="s">
        <v>621</v>
      </c>
      <c r="AD47" s="624" t="s">
        <v>621</v>
      </c>
      <c r="AE47" s="624" t="s">
        <v>621</v>
      </c>
      <c r="AF47" s="624" t="s">
        <v>621</v>
      </c>
      <c r="AG47" s="624" t="s">
        <v>621</v>
      </c>
      <c r="AH47" s="624" t="s">
        <v>621</v>
      </c>
      <c r="AI47" s="624" t="s">
        <v>621</v>
      </c>
      <c r="AJ47" s="624" t="s">
        <v>621</v>
      </c>
      <c r="AK47" s="624" t="s">
        <v>621</v>
      </c>
      <c r="AL47" s="624" t="s">
        <v>621</v>
      </c>
      <c r="AM47" s="624" t="s">
        <v>621</v>
      </c>
      <c r="AN47" s="624" t="s">
        <v>621</v>
      </c>
      <c r="AO47" s="624" t="s">
        <v>621</v>
      </c>
      <c r="AP47" s="624" t="s">
        <v>621</v>
      </c>
      <c r="AQ47" s="624" t="s">
        <v>621</v>
      </c>
      <c r="AR47" s="624" t="s">
        <v>621</v>
      </c>
      <c r="AS47" s="624" t="s">
        <v>621</v>
      </c>
    </row>
    <row r="48" spans="1:45" s="236" customFormat="1" ht="153.75" hidden="1" x14ac:dyDescent="0.45">
      <c r="A48" s="662" t="s">
        <v>592</v>
      </c>
      <c r="B48" s="663" t="s">
        <v>737</v>
      </c>
      <c r="C48" s="624" t="s">
        <v>621</v>
      </c>
      <c r="D48" s="624" t="s">
        <v>621</v>
      </c>
      <c r="E48" s="624" t="s">
        <v>621</v>
      </c>
      <c r="F48" s="624" t="s">
        <v>621</v>
      </c>
      <c r="G48" s="624" t="s">
        <v>621</v>
      </c>
      <c r="H48" s="624" t="s">
        <v>621</v>
      </c>
      <c r="I48" s="624" t="s">
        <v>621</v>
      </c>
      <c r="J48" s="624" t="s">
        <v>621</v>
      </c>
      <c r="K48" s="624" t="s">
        <v>621</v>
      </c>
      <c r="L48" s="624" t="s">
        <v>621</v>
      </c>
      <c r="M48" s="624" t="s">
        <v>621</v>
      </c>
      <c r="N48" s="624" t="s">
        <v>621</v>
      </c>
      <c r="O48" s="624" t="s">
        <v>621</v>
      </c>
      <c r="P48" s="624" t="s">
        <v>621</v>
      </c>
      <c r="Q48" s="624" t="s">
        <v>621</v>
      </c>
      <c r="R48" s="624" t="s">
        <v>621</v>
      </c>
      <c r="S48" s="624" t="s">
        <v>621</v>
      </c>
      <c r="T48" s="624" t="s">
        <v>621</v>
      </c>
      <c r="U48" s="624" t="s">
        <v>621</v>
      </c>
      <c r="V48" s="624" t="s">
        <v>621</v>
      </c>
      <c r="W48" s="624" t="s">
        <v>621</v>
      </c>
      <c r="X48" s="624" t="s">
        <v>621</v>
      </c>
      <c r="Y48" s="624" t="s">
        <v>621</v>
      </c>
      <c r="Z48" s="624" t="s">
        <v>621</v>
      </c>
      <c r="AA48" s="624" t="s">
        <v>621</v>
      </c>
      <c r="AB48" s="624" t="s">
        <v>621</v>
      </c>
      <c r="AC48" s="624" t="s">
        <v>621</v>
      </c>
      <c r="AD48" s="624" t="s">
        <v>621</v>
      </c>
      <c r="AE48" s="624" t="s">
        <v>621</v>
      </c>
      <c r="AF48" s="624" t="s">
        <v>621</v>
      </c>
      <c r="AG48" s="624" t="s">
        <v>621</v>
      </c>
      <c r="AH48" s="624" t="s">
        <v>621</v>
      </c>
      <c r="AI48" s="624" t="s">
        <v>621</v>
      </c>
      <c r="AJ48" s="624" t="s">
        <v>621</v>
      </c>
      <c r="AK48" s="624" t="s">
        <v>621</v>
      </c>
      <c r="AL48" s="624" t="s">
        <v>621</v>
      </c>
      <c r="AM48" s="624" t="s">
        <v>621</v>
      </c>
      <c r="AN48" s="624" t="s">
        <v>621</v>
      </c>
      <c r="AO48" s="624" t="s">
        <v>621</v>
      </c>
      <c r="AP48" s="624" t="s">
        <v>621</v>
      </c>
      <c r="AQ48" s="624" t="s">
        <v>621</v>
      </c>
      <c r="AR48" s="624" t="s">
        <v>621</v>
      </c>
      <c r="AS48" s="624" t="s">
        <v>621</v>
      </c>
    </row>
    <row r="49" spans="1:45" s="236" customFormat="1" ht="123" x14ac:dyDescent="0.45">
      <c r="A49" s="662" t="s">
        <v>545</v>
      </c>
      <c r="B49" s="663" t="s">
        <v>697</v>
      </c>
      <c r="C49" s="624" t="s">
        <v>621</v>
      </c>
      <c r="D49" s="624" t="s">
        <v>621</v>
      </c>
      <c r="E49" s="624" t="s">
        <v>621</v>
      </c>
      <c r="F49" s="624" t="s">
        <v>621</v>
      </c>
      <c r="G49" s="624" t="s">
        <v>621</v>
      </c>
      <c r="H49" s="624" t="s">
        <v>621</v>
      </c>
      <c r="I49" s="624" t="s">
        <v>621</v>
      </c>
      <c r="J49" s="624" t="s">
        <v>621</v>
      </c>
      <c r="K49" s="624" t="s">
        <v>621</v>
      </c>
      <c r="L49" s="624" t="s">
        <v>621</v>
      </c>
      <c r="M49" s="624" t="s">
        <v>621</v>
      </c>
      <c r="N49" s="624">
        <v>3.875</v>
      </c>
      <c r="O49" s="624">
        <f>O50</f>
        <v>8.2680000000000007</v>
      </c>
      <c r="P49" s="624" t="s">
        <v>621</v>
      </c>
      <c r="Q49" s="624" t="s">
        <v>621</v>
      </c>
      <c r="R49" s="624" t="s">
        <v>621</v>
      </c>
      <c r="S49" s="624" t="s">
        <v>621</v>
      </c>
      <c r="T49" s="624" t="s">
        <v>621</v>
      </c>
      <c r="U49" s="624" t="s">
        <v>621</v>
      </c>
      <c r="V49" s="624" t="s">
        <v>621</v>
      </c>
      <c r="W49" s="624" t="s">
        <v>621</v>
      </c>
      <c r="X49" s="624" t="s">
        <v>621</v>
      </c>
      <c r="Y49" s="624" t="s">
        <v>621</v>
      </c>
      <c r="Z49" s="624" t="s">
        <v>621</v>
      </c>
      <c r="AA49" s="624" t="s">
        <v>621</v>
      </c>
      <c r="AB49" s="624" t="s">
        <v>621</v>
      </c>
      <c r="AC49" s="624" t="s">
        <v>621</v>
      </c>
      <c r="AD49" s="624" t="s">
        <v>621</v>
      </c>
      <c r="AE49" s="624" t="s">
        <v>621</v>
      </c>
      <c r="AF49" s="624" t="s">
        <v>621</v>
      </c>
      <c r="AG49" s="624" t="s">
        <v>621</v>
      </c>
      <c r="AH49" s="624" t="s">
        <v>621</v>
      </c>
      <c r="AI49" s="624" t="s">
        <v>621</v>
      </c>
      <c r="AJ49" s="624" t="s">
        <v>621</v>
      </c>
      <c r="AK49" s="624" t="s">
        <v>621</v>
      </c>
      <c r="AL49" s="624" t="s">
        <v>621</v>
      </c>
      <c r="AM49" s="624" t="s">
        <v>621</v>
      </c>
      <c r="AN49" s="624" t="s">
        <v>621</v>
      </c>
      <c r="AO49" s="624" t="s">
        <v>621</v>
      </c>
      <c r="AP49" s="624" t="s">
        <v>621</v>
      </c>
      <c r="AQ49" s="624" t="s">
        <v>621</v>
      </c>
      <c r="AR49" s="624" t="s">
        <v>621</v>
      </c>
      <c r="AS49" s="624" t="s">
        <v>621</v>
      </c>
    </row>
    <row r="50" spans="1:45" s="440" customFormat="1" ht="91.5" customHeight="1" x14ac:dyDescent="0.45">
      <c r="A50" s="662" t="s">
        <v>595</v>
      </c>
      <c r="B50" s="663" t="s">
        <v>746</v>
      </c>
      <c r="C50" s="624" t="s">
        <v>621</v>
      </c>
      <c r="D50" s="624" t="s">
        <v>621</v>
      </c>
      <c r="E50" s="624" t="s">
        <v>621</v>
      </c>
      <c r="F50" s="624" t="s">
        <v>621</v>
      </c>
      <c r="G50" s="624" t="s">
        <v>621</v>
      </c>
      <c r="H50" s="624" t="s">
        <v>621</v>
      </c>
      <c r="I50" s="624" t="s">
        <v>621</v>
      </c>
      <c r="J50" s="624" t="s">
        <v>621</v>
      </c>
      <c r="K50" s="624" t="s">
        <v>621</v>
      </c>
      <c r="L50" s="624" t="s">
        <v>621</v>
      </c>
      <c r="M50" s="624" t="s">
        <v>621</v>
      </c>
      <c r="N50" s="624">
        <v>3.875</v>
      </c>
      <c r="O50" s="624">
        <f>O51+O53</f>
        <v>8.2680000000000007</v>
      </c>
      <c r="P50" s="624" t="s">
        <v>621</v>
      </c>
      <c r="Q50" s="624" t="s">
        <v>621</v>
      </c>
      <c r="R50" s="624" t="s">
        <v>621</v>
      </c>
      <c r="S50" s="624" t="s">
        <v>621</v>
      </c>
      <c r="T50" s="624" t="s">
        <v>621</v>
      </c>
      <c r="U50" s="624" t="s">
        <v>621</v>
      </c>
      <c r="V50" s="624" t="s">
        <v>621</v>
      </c>
      <c r="W50" s="624" t="s">
        <v>621</v>
      </c>
      <c r="X50" s="624" t="s">
        <v>621</v>
      </c>
      <c r="Y50" s="624" t="s">
        <v>621</v>
      </c>
      <c r="Z50" s="624" t="s">
        <v>621</v>
      </c>
      <c r="AA50" s="624" t="s">
        <v>621</v>
      </c>
      <c r="AB50" s="624" t="s">
        <v>621</v>
      </c>
      <c r="AC50" s="624" t="s">
        <v>621</v>
      </c>
      <c r="AD50" s="624" t="s">
        <v>621</v>
      </c>
      <c r="AE50" s="624" t="s">
        <v>621</v>
      </c>
      <c r="AF50" s="624" t="s">
        <v>621</v>
      </c>
      <c r="AG50" s="624" t="s">
        <v>621</v>
      </c>
      <c r="AH50" s="624" t="s">
        <v>621</v>
      </c>
      <c r="AI50" s="624" t="s">
        <v>621</v>
      </c>
      <c r="AJ50" s="624" t="s">
        <v>621</v>
      </c>
      <c r="AK50" s="624" t="s">
        <v>621</v>
      </c>
      <c r="AL50" s="624" t="s">
        <v>621</v>
      </c>
      <c r="AM50" s="624" t="s">
        <v>621</v>
      </c>
      <c r="AN50" s="624" t="s">
        <v>621</v>
      </c>
      <c r="AO50" s="624" t="s">
        <v>621</v>
      </c>
      <c r="AP50" s="624" t="s">
        <v>621</v>
      </c>
      <c r="AQ50" s="624" t="s">
        <v>621</v>
      </c>
      <c r="AR50" s="624" t="s">
        <v>621</v>
      </c>
      <c r="AS50" s="624" t="s">
        <v>621</v>
      </c>
    </row>
    <row r="51" spans="1:45" s="440" customFormat="1" ht="111.75" customHeight="1" x14ac:dyDescent="0.45">
      <c r="A51" s="657" t="s">
        <v>864</v>
      </c>
      <c r="B51" s="654" t="s">
        <v>818</v>
      </c>
      <c r="C51" s="922" t="str">
        <f>CONCATENATE("J","_",2022,"_",A51)</f>
        <v>J_2022_1.2.2.1.7</v>
      </c>
      <c r="D51" s="922" t="s">
        <v>621</v>
      </c>
      <c r="E51" s="922" t="s">
        <v>621</v>
      </c>
      <c r="F51" s="922" t="s">
        <v>621</v>
      </c>
      <c r="G51" s="922" t="s">
        <v>621</v>
      </c>
      <c r="H51" s="922" t="s">
        <v>621</v>
      </c>
      <c r="I51" s="922" t="s">
        <v>621</v>
      </c>
      <c r="J51" s="922" t="s">
        <v>621</v>
      </c>
      <c r="K51" s="922" t="s">
        <v>621</v>
      </c>
      <c r="L51" s="922" t="s">
        <v>621</v>
      </c>
      <c r="M51" s="922" t="s">
        <v>621</v>
      </c>
      <c r="N51" s="922">
        <v>1.3080000000000001</v>
      </c>
      <c r="O51" s="922">
        <f>N51</f>
        <v>1.3080000000000001</v>
      </c>
      <c r="P51" s="922" t="s">
        <v>621</v>
      </c>
      <c r="Q51" s="922" t="s">
        <v>621</v>
      </c>
      <c r="R51" s="922" t="s">
        <v>621</v>
      </c>
      <c r="S51" s="922" t="s">
        <v>621</v>
      </c>
      <c r="T51" s="922" t="s">
        <v>621</v>
      </c>
      <c r="U51" s="922" t="s">
        <v>621</v>
      </c>
      <c r="V51" s="922" t="s">
        <v>621</v>
      </c>
      <c r="W51" s="922" t="s">
        <v>621</v>
      </c>
      <c r="X51" s="922" t="s">
        <v>621</v>
      </c>
      <c r="Y51" s="922" t="s">
        <v>621</v>
      </c>
      <c r="Z51" s="922" t="s">
        <v>621</v>
      </c>
      <c r="AA51" s="922" t="s">
        <v>621</v>
      </c>
      <c r="AB51" s="922" t="s">
        <v>621</v>
      </c>
      <c r="AC51" s="922" t="s">
        <v>621</v>
      </c>
      <c r="AD51" s="922" t="s">
        <v>621</v>
      </c>
      <c r="AE51" s="922" t="s">
        <v>621</v>
      </c>
      <c r="AF51" s="922" t="s">
        <v>621</v>
      </c>
      <c r="AG51" s="922" t="s">
        <v>621</v>
      </c>
      <c r="AH51" s="922" t="s">
        <v>621</v>
      </c>
      <c r="AI51" s="922" t="s">
        <v>621</v>
      </c>
      <c r="AJ51" s="922" t="s">
        <v>621</v>
      </c>
      <c r="AK51" s="922" t="s">
        <v>621</v>
      </c>
      <c r="AL51" s="922" t="s">
        <v>621</v>
      </c>
      <c r="AM51" s="922" t="s">
        <v>621</v>
      </c>
      <c r="AN51" s="922" t="s">
        <v>621</v>
      </c>
      <c r="AO51" s="922" t="s">
        <v>621</v>
      </c>
      <c r="AP51" s="922" t="s">
        <v>621</v>
      </c>
      <c r="AQ51" s="922" t="s">
        <v>621</v>
      </c>
      <c r="AR51" s="922" t="s">
        <v>621</v>
      </c>
      <c r="AS51" s="922" t="s">
        <v>621</v>
      </c>
    </row>
    <row r="52" spans="1:45" s="440" customFormat="1" ht="146.25" customHeight="1" x14ac:dyDescent="0.45">
      <c r="A52" s="657" t="s">
        <v>868</v>
      </c>
      <c r="B52" s="654" t="s">
        <v>870</v>
      </c>
      <c r="C52" s="922" t="str">
        <f>CONCATENATE("J","_",2022,"_",A52)</f>
        <v>J_2022_1.2.2.1.8</v>
      </c>
      <c r="D52" s="922" t="s">
        <v>621</v>
      </c>
      <c r="E52" s="922" t="s">
        <v>621</v>
      </c>
      <c r="F52" s="922" t="s">
        <v>621</v>
      </c>
      <c r="G52" s="922" t="s">
        <v>621</v>
      </c>
      <c r="H52" s="922" t="s">
        <v>621</v>
      </c>
      <c r="I52" s="922" t="s">
        <v>621</v>
      </c>
      <c r="J52" s="922" t="s">
        <v>621</v>
      </c>
      <c r="K52" s="922" t="s">
        <v>621</v>
      </c>
      <c r="L52" s="922" t="s">
        <v>621</v>
      </c>
      <c r="M52" s="922" t="s">
        <v>621</v>
      </c>
      <c r="N52" s="922">
        <v>2.5670000000000002</v>
      </c>
      <c r="O52" s="922">
        <v>0</v>
      </c>
      <c r="P52" s="922" t="s">
        <v>621</v>
      </c>
      <c r="Q52" s="922" t="s">
        <v>621</v>
      </c>
      <c r="R52" s="922" t="s">
        <v>621</v>
      </c>
      <c r="S52" s="922" t="s">
        <v>621</v>
      </c>
      <c r="T52" s="922" t="s">
        <v>621</v>
      </c>
      <c r="U52" s="922" t="s">
        <v>621</v>
      </c>
      <c r="V52" s="922" t="s">
        <v>621</v>
      </c>
      <c r="W52" s="922" t="s">
        <v>621</v>
      </c>
      <c r="X52" s="922" t="s">
        <v>621</v>
      </c>
      <c r="Y52" s="922" t="s">
        <v>621</v>
      </c>
      <c r="Z52" s="922" t="s">
        <v>621</v>
      </c>
      <c r="AA52" s="922" t="s">
        <v>621</v>
      </c>
      <c r="AB52" s="922" t="s">
        <v>621</v>
      </c>
      <c r="AC52" s="922" t="s">
        <v>621</v>
      </c>
      <c r="AD52" s="922" t="s">
        <v>621</v>
      </c>
      <c r="AE52" s="922" t="s">
        <v>621</v>
      </c>
      <c r="AF52" s="922" t="s">
        <v>621</v>
      </c>
      <c r="AG52" s="922" t="s">
        <v>621</v>
      </c>
      <c r="AH52" s="922" t="s">
        <v>621</v>
      </c>
      <c r="AI52" s="922" t="s">
        <v>621</v>
      </c>
      <c r="AJ52" s="922" t="s">
        <v>621</v>
      </c>
      <c r="AK52" s="922" t="s">
        <v>621</v>
      </c>
      <c r="AL52" s="922" t="s">
        <v>621</v>
      </c>
      <c r="AM52" s="922" t="s">
        <v>621</v>
      </c>
      <c r="AN52" s="922" t="s">
        <v>621</v>
      </c>
      <c r="AO52" s="922" t="s">
        <v>621</v>
      </c>
      <c r="AP52" s="922" t="s">
        <v>621</v>
      </c>
      <c r="AQ52" s="922" t="s">
        <v>621</v>
      </c>
      <c r="AR52" s="922" t="s">
        <v>621</v>
      </c>
      <c r="AS52" s="922" t="s">
        <v>621</v>
      </c>
    </row>
    <row r="53" spans="1:45" s="440" customFormat="1" ht="96" customHeight="1" x14ac:dyDescent="0.45">
      <c r="A53" s="657" t="s">
        <v>1716</v>
      </c>
      <c r="B53" s="654" t="s">
        <v>1715</v>
      </c>
      <c r="C53" s="922" t="str">
        <f>CONCATENATE("J","_",2022,"_",A53)</f>
        <v>J_2022_1.2.2.1.25</v>
      </c>
      <c r="D53" s="922" t="s">
        <v>621</v>
      </c>
      <c r="E53" s="922" t="s">
        <v>621</v>
      </c>
      <c r="F53" s="922" t="s">
        <v>621</v>
      </c>
      <c r="G53" s="922" t="s">
        <v>621</v>
      </c>
      <c r="H53" s="922" t="s">
        <v>621</v>
      </c>
      <c r="I53" s="922" t="s">
        <v>621</v>
      </c>
      <c r="J53" s="922" t="s">
        <v>621</v>
      </c>
      <c r="K53" s="922" t="s">
        <v>621</v>
      </c>
      <c r="L53" s="922" t="s">
        <v>621</v>
      </c>
      <c r="M53" s="922" t="s">
        <v>621</v>
      </c>
      <c r="N53" s="922">
        <v>0</v>
      </c>
      <c r="O53" s="922">
        <v>6.96</v>
      </c>
      <c r="P53" s="922" t="s">
        <v>621</v>
      </c>
      <c r="Q53" s="922" t="s">
        <v>621</v>
      </c>
      <c r="R53" s="922" t="s">
        <v>621</v>
      </c>
      <c r="S53" s="922" t="s">
        <v>621</v>
      </c>
      <c r="T53" s="922" t="s">
        <v>621</v>
      </c>
      <c r="U53" s="922" t="s">
        <v>621</v>
      </c>
      <c r="V53" s="922" t="s">
        <v>621</v>
      </c>
      <c r="W53" s="922" t="s">
        <v>621</v>
      </c>
      <c r="X53" s="922" t="s">
        <v>621</v>
      </c>
      <c r="Y53" s="922" t="s">
        <v>621</v>
      </c>
      <c r="Z53" s="922" t="s">
        <v>621</v>
      </c>
      <c r="AA53" s="922" t="s">
        <v>621</v>
      </c>
      <c r="AB53" s="922" t="s">
        <v>621</v>
      </c>
      <c r="AC53" s="922" t="s">
        <v>621</v>
      </c>
      <c r="AD53" s="922" t="s">
        <v>621</v>
      </c>
      <c r="AE53" s="922" t="s">
        <v>621</v>
      </c>
      <c r="AF53" s="922" t="s">
        <v>621</v>
      </c>
      <c r="AG53" s="922" t="s">
        <v>621</v>
      </c>
      <c r="AH53" s="922" t="s">
        <v>621</v>
      </c>
      <c r="AI53" s="922" t="s">
        <v>621</v>
      </c>
      <c r="AJ53" s="922" t="s">
        <v>621</v>
      </c>
      <c r="AK53" s="922" t="s">
        <v>621</v>
      </c>
      <c r="AL53" s="922" t="s">
        <v>621</v>
      </c>
      <c r="AM53" s="922" t="s">
        <v>621</v>
      </c>
      <c r="AN53" s="922" t="s">
        <v>621</v>
      </c>
      <c r="AO53" s="922" t="s">
        <v>621</v>
      </c>
      <c r="AP53" s="922" t="s">
        <v>621</v>
      </c>
      <c r="AQ53" s="922" t="s">
        <v>621</v>
      </c>
      <c r="AR53" s="922" t="s">
        <v>621</v>
      </c>
      <c r="AS53" s="922" t="s">
        <v>621</v>
      </c>
    </row>
    <row r="54" spans="1:45" s="236" customFormat="1" ht="96" customHeight="1" x14ac:dyDescent="0.45">
      <c r="A54" s="963" t="s">
        <v>546</v>
      </c>
      <c r="B54" s="964" t="s">
        <v>739</v>
      </c>
      <c r="C54" s="983" t="s">
        <v>621</v>
      </c>
      <c r="D54" s="983" t="s">
        <v>621</v>
      </c>
      <c r="E54" s="983" t="s">
        <v>621</v>
      </c>
      <c r="F54" s="983" t="s">
        <v>621</v>
      </c>
      <c r="G54" s="983" t="s">
        <v>621</v>
      </c>
      <c r="H54" s="983" t="s">
        <v>621</v>
      </c>
      <c r="I54" s="983" t="s">
        <v>621</v>
      </c>
      <c r="J54" s="983" t="s">
        <v>621</v>
      </c>
      <c r="K54" s="983" t="s">
        <v>621</v>
      </c>
      <c r="L54" s="983" t="s">
        <v>621</v>
      </c>
      <c r="M54" s="983" t="s">
        <v>621</v>
      </c>
      <c r="N54" s="983" t="s">
        <v>621</v>
      </c>
      <c r="O54" s="983" t="s">
        <v>621</v>
      </c>
      <c r="P54" s="983" t="s">
        <v>621</v>
      </c>
      <c r="Q54" s="983" t="s">
        <v>621</v>
      </c>
      <c r="R54" s="983" t="s">
        <v>621</v>
      </c>
      <c r="S54" s="983" t="s">
        <v>621</v>
      </c>
      <c r="T54" s="983">
        <f>U54</f>
        <v>2658</v>
      </c>
      <c r="U54" s="983">
        <f>U55</f>
        <v>2658</v>
      </c>
      <c r="V54" s="983" t="s">
        <v>621</v>
      </c>
      <c r="W54" s="983" t="s">
        <v>621</v>
      </c>
      <c r="X54" s="983" t="s">
        <v>621</v>
      </c>
      <c r="Y54" s="983" t="s">
        <v>621</v>
      </c>
      <c r="Z54" s="983" t="s">
        <v>621</v>
      </c>
      <c r="AA54" s="983" t="s">
        <v>621</v>
      </c>
      <c r="AB54" s="983" t="s">
        <v>621</v>
      </c>
      <c r="AC54" s="983" t="s">
        <v>621</v>
      </c>
      <c r="AD54" s="983" t="s">
        <v>621</v>
      </c>
      <c r="AE54" s="983" t="s">
        <v>621</v>
      </c>
      <c r="AF54" s="983" t="s">
        <v>621</v>
      </c>
      <c r="AG54" s="983" t="s">
        <v>621</v>
      </c>
      <c r="AH54" s="983" t="s">
        <v>621</v>
      </c>
      <c r="AI54" s="983" t="s">
        <v>621</v>
      </c>
      <c r="AJ54" s="983" t="s">
        <v>621</v>
      </c>
      <c r="AK54" s="983" t="s">
        <v>621</v>
      </c>
      <c r="AL54" s="983" t="s">
        <v>621</v>
      </c>
      <c r="AM54" s="983" t="s">
        <v>621</v>
      </c>
      <c r="AN54" s="983" t="s">
        <v>621</v>
      </c>
      <c r="AO54" s="983" t="s">
        <v>621</v>
      </c>
      <c r="AP54" s="983" t="s">
        <v>621</v>
      </c>
      <c r="AQ54" s="983" t="s">
        <v>621</v>
      </c>
      <c r="AR54" s="983" t="s">
        <v>621</v>
      </c>
      <c r="AS54" s="983" t="s">
        <v>621</v>
      </c>
    </row>
    <row r="55" spans="1:45" s="236" customFormat="1" ht="89.25" customHeight="1" x14ac:dyDescent="0.45">
      <c r="A55" s="657" t="s">
        <v>599</v>
      </c>
      <c r="B55" s="654" t="s">
        <v>740</v>
      </c>
      <c r="C55" s="625" t="str">
        <f>CONCATENATE("J","_",2022,"_",A55)</f>
        <v>J_2022_1.2.3.1</v>
      </c>
      <c r="D55" s="625" t="s">
        <v>621</v>
      </c>
      <c r="E55" s="625" t="s">
        <v>621</v>
      </c>
      <c r="F55" s="625" t="s">
        <v>621</v>
      </c>
      <c r="G55" s="625" t="s">
        <v>621</v>
      </c>
      <c r="H55" s="625" t="s">
        <v>621</v>
      </c>
      <c r="I55" s="625" t="s">
        <v>621</v>
      </c>
      <c r="J55" s="625" t="s">
        <v>621</v>
      </c>
      <c r="K55" s="625" t="s">
        <v>621</v>
      </c>
      <c r="L55" s="625" t="s">
        <v>621</v>
      </c>
      <c r="M55" s="625" t="s">
        <v>621</v>
      </c>
      <c r="N55" s="625" t="s">
        <v>621</v>
      </c>
      <c r="O55" s="625" t="s">
        <v>621</v>
      </c>
      <c r="P55" s="625" t="s">
        <v>621</v>
      </c>
      <c r="Q55" s="625" t="s">
        <v>621</v>
      </c>
      <c r="R55" s="625" t="s">
        <v>621</v>
      </c>
      <c r="S55" s="625" t="s">
        <v>621</v>
      </c>
      <c r="T55" s="625">
        <f>U55</f>
        <v>2658</v>
      </c>
      <c r="U55" s="625">
        <f>U63</f>
        <v>2658</v>
      </c>
      <c r="V55" s="625" t="s">
        <v>621</v>
      </c>
      <c r="W55" s="625" t="s">
        <v>621</v>
      </c>
      <c r="X55" s="625" t="s">
        <v>621</v>
      </c>
      <c r="Y55" s="625" t="s">
        <v>621</v>
      </c>
      <c r="Z55" s="625" t="s">
        <v>621</v>
      </c>
      <c r="AA55" s="625" t="s">
        <v>621</v>
      </c>
      <c r="AB55" s="625" t="s">
        <v>621</v>
      </c>
      <c r="AC55" s="625" t="s">
        <v>621</v>
      </c>
      <c r="AD55" s="625" t="s">
        <v>621</v>
      </c>
      <c r="AE55" s="625" t="s">
        <v>621</v>
      </c>
      <c r="AF55" s="625" t="s">
        <v>621</v>
      </c>
      <c r="AG55" s="625" t="s">
        <v>621</v>
      </c>
      <c r="AH55" s="625" t="s">
        <v>621</v>
      </c>
      <c r="AI55" s="625" t="s">
        <v>621</v>
      </c>
      <c r="AJ55" s="625" t="s">
        <v>621</v>
      </c>
      <c r="AK55" s="625" t="s">
        <v>621</v>
      </c>
      <c r="AL55" s="625" t="s">
        <v>621</v>
      </c>
      <c r="AM55" s="625" t="s">
        <v>621</v>
      </c>
      <c r="AN55" s="625" t="s">
        <v>621</v>
      </c>
      <c r="AO55" s="625" t="s">
        <v>621</v>
      </c>
      <c r="AP55" s="625" t="s">
        <v>621</v>
      </c>
      <c r="AQ55" s="625" t="s">
        <v>621</v>
      </c>
      <c r="AR55" s="625" t="s">
        <v>621</v>
      </c>
      <c r="AS55" s="625" t="s">
        <v>621</v>
      </c>
    </row>
    <row r="56" spans="1:45" s="236" customFormat="1" ht="92.25" hidden="1" x14ac:dyDescent="0.45">
      <c r="A56" s="657" t="s">
        <v>600</v>
      </c>
      <c r="B56" s="654" t="s">
        <v>698</v>
      </c>
      <c r="C56" s="625" t="str">
        <f t="shared" ref="C56:C63" si="2">CONCATENATE("J","_",2022,"_",A56)</f>
        <v>J_2022_1.2.3.2</v>
      </c>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row>
    <row r="57" spans="1:45" s="236" customFormat="1" ht="92.25" hidden="1" x14ac:dyDescent="0.45">
      <c r="A57" s="657" t="s">
        <v>601</v>
      </c>
      <c r="B57" s="654" t="s">
        <v>699</v>
      </c>
      <c r="C57" s="625" t="str">
        <f t="shared" si="2"/>
        <v>J_2022_1.2.3.3</v>
      </c>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c r="AO57" s="625"/>
      <c r="AP57" s="625"/>
      <c r="AQ57" s="625"/>
      <c r="AR57" s="625"/>
      <c r="AS57" s="625"/>
    </row>
    <row r="58" spans="1:45" s="236" customFormat="1" ht="92.25" hidden="1" x14ac:dyDescent="0.45">
      <c r="A58" s="657" t="s">
        <v>602</v>
      </c>
      <c r="B58" s="654" t="s">
        <v>700</v>
      </c>
      <c r="C58" s="625" t="str">
        <f t="shared" si="2"/>
        <v>J_2022_1.2.3.4</v>
      </c>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5"/>
      <c r="AQ58" s="625"/>
      <c r="AR58" s="625"/>
      <c r="AS58" s="625"/>
    </row>
    <row r="59" spans="1:45" s="236" customFormat="1" ht="123" hidden="1" x14ac:dyDescent="0.45">
      <c r="A59" s="657" t="s">
        <v>718</v>
      </c>
      <c r="B59" s="654" t="s">
        <v>701</v>
      </c>
      <c r="C59" s="625" t="str">
        <f t="shared" si="2"/>
        <v>J_2022_1.2.3.5</v>
      </c>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c r="AO59" s="625"/>
      <c r="AP59" s="625"/>
      <c r="AQ59" s="625"/>
      <c r="AR59" s="625"/>
      <c r="AS59" s="625"/>
    </row>
    <row r="60" spans="1:45" s="236" customFormat="1" ht="123" hidden="1" x14ac:dyDescent="0.45">
      <c r="A60" s="657" t="s">
        <v>719</v>
      </c>
      <c r="B60" s="654" t="s">
        <v>702</v>
      </c>
      <c r="C60" s="625" t="str">
        <f t="shared" si="2"/>
        <v>J_2022_1.2.3.6</v>
      </c>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row>
    <row r="61" spans="1:45" s="236" customFormat="1" ht="123" hidden="1" x14ac:dyDescent="0.45">
      <c r="A61" s="657" t="s">
        <v>720</v>
      </c>
      <c r="B61" s="654" t="s">
        <v>703</v>
      </c>
      <c r="C61" s="625" t="str">
        <f t="shared" si="2"/>
        <v>J_2022_1.2.3.7</v>
      </c>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25"/>
      <c r="AO61" s="625"/>
      <c r="AP61" s="625"/>
      <c r="AQ61" s="625"/>
      <c r="AR61" s="625"/>
      <c r="AS61" s="625"/>
    </row>
    <row r="62" spans="1:45" s="236" customFormat="1" ht="45" hidden="1" customHeight="1" x14ac:dyDescent="0.45">
      <c r="A62" s="657" t="s">
        <v>721</v>
      </c>
      <c r="B62" s="654" t="s">
        <v>704</v>
      </c>
      <c r="C62" s="625" t="str">
        <f t="shared" si="2"/>
        <v>J_2022_1.2.3.8</v>
      </c>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5"/>
      <c r="AM62" s="625"/>
      <c r="AN62" s="625"/>
      <c r="AO62" s="625"/>
      <c r="AP62" s="625"/>
      <c r="AQ62" s="625"/>
      <c r="AR62" s="625"/>
      <c r="AS62" s="625"/>
    </row>
    <row r="63" spans="1:45" s="236" customFormat="1" ht="68.25" customHeight="1" x14ac:dyDescent="0.45">
      <c r="A63" s="664" t="s">
        <v>947</v>
      </c>
      <c r="B63" s="665" t="s">
        <v>948</v>
      </c>
      <c r="C63" s="625" t="str">
        <f t="shared" si="2"/>
        <v>J_2022_1.2.3.1.1</v>
      </c>
      <c r="D63" s="625" t="s">
        <v>621</v>
      </c>
      <c r="E63" s="625" t="s">
        <v>621</v>
      </c>
      <c r="F63" s="625" t="s">
        <v>621</v>
      </c>
      <c r="G63" s="625" t="s">
        <v>621</v>
      </c>
      <c r="H63" s="625" t="s">
        <v>621</v>
      </c>
      <c r="I63" s="625" t="s">
        <v>621</v>
      </c>
      <c r="J63" s="625" t="s">
        <v>621</v>
      </c>
      <c r="K63" s="625" t="s">
        <v>621</v>
      </c>
      <c r="L63" s="625" t="s">
        <v>621</v>
      </c>
      <c r="M63" s="625" t="s">
        <v>621</v>
      </c>
      <c r="N63" s="625" t="s">
        <v>621</v>
      </c>
      <c r="O63" s="625" t="s">
        <v>621</v>
      </c>
      <c r="P63" s="625" t="s">
        <v>621</v>
      </c>
      <c r="Q63" s="625" t="s">
        <v>621</v>
      </c>
      <c r="R63" s="625" t="s">
        <v>621</v>
      </c>
      <c r="S63" s="625" t="s">
        <v>621</v>
      </c>
      <c r="T63" s="625">
        <f>U63</f>
        <v>2658</v>
      </c>
      <c r="U63" s="625">
        <v>2658</v>
      </c>
      <c r="V63" s="625" t="s">
        <v>621</v>
      </c>
      <c r="W63" s="625" t="s">
        <v>621</v>
      </c>
      <c r="X63" s="625" t="s">
        <v>621</v>
      </c>
      <c r="Y63" s="625" t="s">
        <v>621</v>
      </c>
      <c r="Z63" s="625" t="s">
        <v>621</v>
      </c>
      <c r="AA63" s="625" t="s">
        <v>621</v>
      </c>
      <c r="AB63" s="625" t="s">
        <v>621</v>
      </c>
      <c r="AC63" s="625" t="s">
        <v>621</v>
      </c>
      <c r="AD63" s="625" t="s">
        <v>621</v>
      </c>
      <c r="AE63" s="625" t="s">
        <v>621</v>
      </c>
      <c r="AF63" s="625" t="s">
        <v>621</v>
      </c>
      <c r="AG63" s="625" t="s">
        <v>621</v>
      </c>
      <c r="AH63" s="625" t="s">
        <v>621</v>
      </c>
      <c r="AI63" s="625" t="s">
        <v>621</v>
      </c>
      <c r="AJ63" s="625" t="s">
        <v>621</v>
      </c>
      <c r="AK63" s="625" t="s">
        <v>621</v>
      </c>
      <c r="AL63" s="625" t="s">
        <v>621</v>
      </c>
      <c r="AM63" s="625" t="s">
        <v>621</v>
      </c>
      <c r="AN63" s="625" t="s">
        <v>621</v>
      </c>
      <c r="AO63" s="625" t="s">
        <v>621</v>
      </c>
      <c r="AP63" s="625" t="s">
        <v>621</v>
      </c>
      <c r="AQ63" s="625" t="s">
        <v>621</v>
      </c>
      <c r="AR63" s="625" t="s">
        <v>621</v>
      </c>
      <c r="AS63" s="625" t="s">
        <v>621</v>
      </c>
    </row>
    <row r="64" spans="1:45" s="538" customFormat="1" ht="114" customHeight="1" x14ac:dyDescent="0.45">
      <c r="A64" s="984" t="s">
        <v>547</v>
      </c>
      <c r="B64" s="985" t="s">
        <v>705</v>
      </c>
      <c r="C64" s="986" t="s">
        <v>621</v>
      </c>
      <c r="D64" s="986" t="s">
        <v>621</v>
      </c>
      <c r="E64" s="986" t="s">
        <v>621</v>
      </c>
      <c r="F64" s="986" t="s">
        <v>621</v>
      </c>
      <c r="G64" s="986" t="s">
        <v>621</v>
      </c>
      <c r="H64" s="986" t="s">
        <v>621</v>
      </c>
      <c r="I64" s="986" t="s">
        <v>621</v>
      </c>
      <c r="J64" s="986">
        <f>J66</f>
        <v>2.06</v>
      </c>
      <c r="K64" s="986">
        <v>1.26</v>
      </c>
      <c r="L64" s="986">
        <v>38</v>
      </c>
      <c r="M64" s="986">
        <f>M66</f>
        <v>42</v>
      </c>
      <c r="N64" s="986" t="s">
        <v>621</v>
      </c>
      <c r="O64" s="986" t="s">
        <v>621</v>
      </c>
      <c r="P64" s="986" t="s">
        <v>621</v>
      </c>
      <c r="Q64" s="986" t="s">
        <v>621</v>
      </c>
      <c r="R64" s="986" t="s">
        <v>621</v>
      </c>
      <c r="S64" s="986" t="s">
        <v>621</v>
      </c>
      <c r="T64" s="986" t="s">
        <v>621</v>
      </c>
      <c r="U64" s="986" t="s">
        <v>621</v>
      </c>
      <c r="V64" s="986" t="s">
        <v>621</v>
      </c>
      <c r="W64" s="986" t="s">
        <v>621</v>
      </c>
      <c r="X64" s="986" t="s">
        <v>621</v>
      </c>
      <c r="Y64" s="986" t="s">
        <v>621</v>
      </c>
      <c r="Z64" s="986" t="s">
        <v>621</v>
      </c>
      <c r="AA64" s="986" t="s">
        <v>621</v>
      </c>
      <c r="AB64" s="986" t="s">
        <v>621</v>
      </c>
      <c r="AC64" s="986" t="s">
        <v>621</v>
      </c>
      <c r="AD64" s="986" t="s">
        <v>621</v>
      </c>
      <c r="AE64" s="986" t="s">
        <v>621</v>
      </c>
      <c r="AF64" s="986" t="s">
        <v>621</v>
      </c>
      <c r="AG64" s="986" t="s">
        <v>621</v>
      </c>
      <c r="AH64" s="986" t="s">
        <v>621</v>
      </c>
      <c r="AI64" s="986" t="s">
        <v>621</v>
      </c>
      <c r="AJ64" s="986" t="s">
        <v>621</v>
      </c>
      <c r="AK64" s="986" t="s">
        <v>621</v>
      </c>
      <c r="AL64" s="986" t="s">
        <v>621</v>
      </c>
      <c r="AM64" s="986" t="s">
        <v>621</v>
      </c>
      <c r="AN64" s="986" t="s">
        <v>621</v>
      </c>
      <c r="AO64" s="986" t="s">
        <v>621</v>
      </c>
      <c r="AP64" s="986" t="s">
        <v>621</v>
      </c>
      <c r="AQ64" s="986" t="s">
        <v>621</v>
      </c>
      <c r="AR64" s="986" t="s">
        <v>621</v>
      </c>
      <c r="AS64" s="986" t="s">
        <v>621</v>
      </c>
    </row>
    <row r="65" spans="1:47" s="516" customFormat="1" ht="97.5" customHeight="1" x14ac:dyDescent="0.45">
      <c r="A65" s="984" t="s">
        <v>603</v>
      </c>
      <c r="B65" s="985" t="s">
        <v>706</v>
      </c>
      <c r="C65" s="986" t="s">
        <v>621</v>
      </c>
      <c r="D65" s="986" t="s">
        <v>621</v>
      </c>
      <c r="E65" s="986" t="s">
        <v>621</v>
      </c>
      <c r="F65" s="986" t="s">
        <v>621</v>
      </c>
      <c r="G65" s="986" t="s">
        <v>621</v>
      </c>
      <c r="H65" s="986" t="s">
        <v>621</v>
      </c>
      <c r="I65" s="986" t="s">
        <v>621</v>
      </c>
      <c r="J65" s="986" t="s">
        <v>621</v>
      </c>
      <c r="K65" s="986" t="s">
        <v>621</v>
      </c>
      <c r="L65" s="986" t="s">
        <v>621</v>
      </c>
      <c r="M65" s="986" t="s">
        <v>621</v>
      </c>
      <c r="N65" s="986" t="s">
        <v>621</v>
      </c>
      <c r="O65" s="986" t="s">
        <v>621</v>
      </c>
      <c r="P65" s="986" t="s">
        <v>621</v>
      </c>
      <c r="Q65" s="986" t="s">
        <v>621</v>
      </c>
      <c r="R65" s="986" t="s">
        <v>621</v>
      </c>
      <c r="S65" s="986" t="s">
        <v>621</v>
      </c>
      <c r="T65" s="986" t="s">
        <v>621</v>
      </c>
      <c r="U65" s="986" t="s">
        <v>621</v>
      </c>
      <c r="V65" s="986" t="s">
        <v>621</v>
      </c>
      <c r="W65" s="986" t="s">
        <v>621</v>
      </c>
      <c r="X65" s="986" t="s">
        <v>621</v>
      </c>
      <c r="Y65" s="986" t="s">
        <v>621</v>
      </c>
      <c r="Z65" s="986" t="s">
        <v>621</v>
      </c>
      <c r="AA65" s="986" t="s">
        <v>621</v>
      </c>
      <c r="AB65" s="986" t="s">
        <v>621</v>
      </c>
      <c r="AC65" s="986" t="s">
        <v>621</v>
      </c>
      <c r="AD65" s="986" t="s">
        <v>621</v>
      </c>
      <c r="AE65" s="986" t="s">
        <v>621</v>
      </c>
      <c r="AF65" s="986" t="s">
        <v>621</v>
      </c>
      <c r="AG65" s="986" t="s">
        <v>621</v>
      </c>
      <c r="AH65" s="986" t="s">
        <v>621</v>
      </c>
      <c r="AI65" s="986" t="s">
        <v>621</v>
      </c>
      <c r="AJ65" s="986" t="s">
        <v>621</v>
      </c>
      <c r="AK65" s="986" t="s">
        <v>621</v>
      </c>
      <c r="AL65" s="986" t="s">
        <v>621</v>
      </c>
      <c r="AM65" s="986" t="s">
        <v>621</v>
      </c>
      <c r="AN65" s="986" t="s">
        <v>621</v>
      </c>
      <c r="AO65" s="986" t="s">
        <v>621</v>
      </c>
      <c r="AP65" s="986" t="s">
        <v>621</v>
      </c>
      <c r="AQ65" s="986" t="s">
        <v>621</v>
      </c>
      <c r="AR65" s="986" t="s">
        <v>621</v>
      </c>
      <c r="AS65" s="986" t="s">
        <v>621</v>
      </c>
    </row>
    <row r="66" spans="1:47" s="516" customFormat="1" ht="119.25" customHeight="1" x14ac:dyDescent="0.45">
      <c r="A66" s="984" t="s">
        <v>604</v>
      </c>
      <c r="B66" s="985" t="s">
        <v>707</v>
      </c>
      <c r="C66" s="986" t="s">
        <v>621</v>
      </c>
      <c r="D66" s="986" t="s">
        <v>621</v>
      </c>
      <c r="E66" s="986" t="s">
        <v>621</v>
      </c>
      <c r="F66" s="986" t="s">
        <v>621</v>
      </c>
      <c r="G66" s="986" t="s">
        <v>621</v>
      </c>
      <c r="H66" s="986" t="s">
        <v>621</v>
      </c>
      <c r="I66" s="986" t="s">
        <v>621</v>
      </c>
      <c r="J66" s="986">
        <f>J67+J68</f>
        <v>2.06</v>
      </c>
      <c r="K66" s="986">
        <v>1.26</v>
      </c>
      <c r="L66" s="986">
        <v>38</v>
      </c>
      <c r="M66" s="986">
        <f>M69+M76</f>
        <v>42</v>
      </c>
      <c r="N66" s="986"/>
      <c r="O66" s="986" t="s">
        <v>621</v>
      </c>
      <c r="P66" s="986" t="s">
        <v>621</v>
      </c>
      <c r="Q66" s="986" t="s">
        <v>621</v>
      </c>
      <c r="R66" s="986" t="s">
        <v>621</v>
      </c>
      <c r="S66" s="986" t="s">
        <v>621</v>
      </c>
      <c r="T66" s="986" t="s">
        <v>621</v>
      </c>
      <c r="U66" s="986" t="s">
        <v>621</v>
      </c>
      <c r="V66" s="986" t="s">
        <v>621</v>
      </c>
      <c r="W66" s="986" t="s">
        <v>621</v>
      </c>
      <c r="X66" s="986" t="s">
        <v>621</v>
      </c>
      <c r="Y66" s="986" t="s">
        <v>621</v>
      </c>
      <c r="Z66" s="986" t="s">
        <v>621</v>
      </c>
      <c r="AA66" s="986" t="s">
        <v>621</v>
      </c>
      <c r="AB66" s="986" t="s">
        <v>621</v>
      </c>
      <c r="AC66" s="986" t="s">
        <v>621</v>
      </c>
      <c r="AD66" s="986" t="s">
        <v>621</v>
      </c>
      <c r="AE66" s="986" t="s">
        <v>621</v>
      </c>
      <c r="AF66" s="986" t="s">
        <v>621</v>
      </c>
      <c r="AG66" s="986" t="s">
        <v>621</v>
      </c>
      <c r="AH66" s="986" t="s">
        <v>621</v>
      </c>
      <c r="AI66" s="986" t="s">
        <v>621</v>
      </c>
      <c r="AJ66" s="986" t="s">
        <v>621</v>
      </c>
      <c r="AK66" s="986" t="s">
        <v>621</v>
      </c>
      <c r="AL66" s="986" t="s">
        <v>621</v>
      </c>
      <c r="AM66" s="986" t="s">
        <v>621</v>
      </c>
      <c r="AN66" s="986" t="s">
        <v>621</v>
      </c>
      <c r="AO66" s="986" t="s">
        <v>621</v>
      </c>
      <c r="AP66" s="986" t="s">
        <v>621</v>
      </c>
      <c r="AQ66" s="986" t="s">
        <v>621</v>
      </c>
      <c r="AR66" s="986" t="s">
        <v>621</v>
      </c>
      <c r="AS66" s="986" t="s">
        <v>621</v>
      </c>
    </row>
    <row r="67" spans="1:47" s="440" customFormat="1" ht="45" customHeight="1" x14ac:dyDescent="0.45">
      <c r="A67" s="657" t="s">
        <v>890</v>
      </c>
      <c r="B67" s="987" t="s">
        <v>871</v>
      </c>
      <c r="C67" s="922" t="str">
        <f>CONCATENATE("J","_",2022,"_",A67)</f>
        <v>J_2022_1.2.4.2.6</v>
      </c>
      <c r="D67" s="922" t="s">
        <v>621</v>
      </c>
      <c r="E67" s="922" t="s">
        <v>621</v>
      </c>
      <c r="F67" s="922" t="s">
        <v>621</v>
      </c>
      <c r="G67" s="922" t="s">
        <v>621</v>
      </c>
      <c r="H67" s="922" t="s">
        <v>621</v>
      </c>
      <c r="I67" s="922" t="s">
        <v>621</v>
      </c>
      <c r="J67" s="922">
        <v>0.8</v>
      </c>
      <c r="K67" s="922">
        <v>0</v>
      </c>
      <c r="L67" s="922" t="s">
        <v>621</v>
      </c>
      <c r="M67" s="922" t="s">
        <v>621</v>
      </c>
      <c r="N67" s="922" t="s">
        <v>621</v>
      </c>
      <c r="O67" s="922" t="s">
        <v>621</v>
      </c>
      <c r="P67" s="922" t="s">
        <v>621</v>
      </c>
      <c r="Q67" s="922" t="s">
        <v>621</v>
      </c>
      <c r="R67" s="922" t="s">
        <v>621</v>
      </c>
      <c r="S67" s="922" t="s">
        <v>621</v>
      </c>
      <c r="T67" s="922" t="s">
        <v>621</v>
      </c>
      <c r="U67" s="922" t="s">
        <v>621</v>
      </c>
      <c r="V67" s="922" t="s">
        <v>621</v>
      </c>
      <c r="W67" s="922" t="s">
        <v>621</v>
      </c>
      <c r="X67" s="922" t="s">
        <v>621</v>
      </c>
      <c r="Y67" s="922" t="s">
        <v>621</v>
      </c>
      <c r="Z67" s="922" t="s">
        <v>621</v>
      </c>
      <c r="AA67" s="922" t="s">
        <v>621</v>
      </c>
      <c r="AB67" s="922" t="s">
        <v>621</v>
      </c>
      <c r="AC67" s="922" t="s">
        <v>621</v>
      </c>
      <c r="AD67" s="922" t="s">
        <v>621</v>
      </c>
      <c r="AE67" s="922" t="s">
        <v>621</v>
      </c>
      <c r="AF67" s="922" t="s">
        <v>621</v>
      </c>
      <c r="AG67" s="922" t="s">
        <v>621</v>
      </c>
      <c r="AH67" s="922" t="s">
        <v>621</v>
      </c>
      <c r="AI67" s="922" t="s">
        <v>621</v>
      </c>
      <c r="AJ67" s="922" t="s">
        <v>621</v>
      </c>
      <c r="AK67" s="922" t="s">
        <v>621</v>
      </c>
      <c r="AL67" s="922" t="s">
        <v>621</v>
      </c>
      <c r="AM67" s="922" t="s">
        <v>621</v>
      </c>
      <c r="AN67" s="922" t="s">
        <v>621</v>
      </c>
      <c r="AO67" s="922" t="s">
        <v>621</v>
      </c>
      <c r="AP67" s="922" t="s">
        <v>621</v>
      </c>
      <c r="AQ67" s="922" t="s">
        <v>621</v>
      </c>
      <c r="AR67" s="922" t="s">
        <v>621</v>
      </c>
      <c r="AS67" s="922" t="s">
        <v>621</v>
      </c>
      <c r="AT67" s="965"/>
      <c r="AU67" s="965"/>
    </row>
    <row r="68" spans="1:47" s="440" customFormat="1" ht="35.25" customHeight="1" x14ac:dyDescent="0.45">
      <c r="A68" s="657" t="s">
        <v>891</v>
      </c>
      <c r="B68" s="987" t="s">
        <v>872</v>
      </c>
      <c r="C68" s="922" t="str">
        <f>CONCATENATE("J","_",2022,"_",A68)</f>
        <v>J_2022_1.2.4.2.7</v>
      </c>
      <c r="D68" s="922" t="s">
        <v>621</v>
      </c>
      <c r="E68" s="922" t="s">
        <v>621</v>
      </c>
      <c r="F68" s="922" t="s">
        <v>621</v>
      </c>
      <c r="G68" s="922" t="s">
        <v>621</v>
      </c>
      <c r="H68" s="922" t="s">
        <v>621</v>
      </c>
      <c r="I68" s="922" t="s">
        <v>621</v>
      </c>
      <c r="J68" s="922">
        <v>1.26</v>
      </c>
      <c r="K68" s="922">
        <v>0</v>
      </c>
      <c r="L68" s="922" t="s">
        <v>621</v>
      </c>
      <c r="M68" s="922" t="s">
        <v>621</v>
      </c>
      <c r="N68" s="922" t="s">
        <v>621</v>
      </c>
      <c r="O68" s="922" t="s">
        <v>621</v>
      </c>
      <c r="P68" s="922" t="s">
        <v>621</v>
      </c>
      <c r="Q68" s="922" t="s">
        <v>621</v>
      </c>
      <c r="R68" s="922" t="s">
        <v>621</v>
      </c>
      <c r="S68" s="922" t="s">
        <v>621</v>
      </c>
      <c r="T68" s="922" t="s">
        <v>621</v>
      </c>
      <c r="U68" s="922" t="s">
        <v>621</v>
      </c>
      <c r="V68" s="922" t="s">
        <v>621</v>
      </c>
      <c r="W68" s="922" t="s">
        <v>621</v>
      </c>
      <c r="X68" s="922" t="s">
        <v>621</v>
      </c>
      <c r="Y68" s="922" t="s">
        <v>621</v>
      </c>
      <c r="Z68" s="922" t="s">
        <v>621</v>
      </c>
      <c r="AA68" s="922" t="s">
        <v>621</v>
      </c>
      <c r="AB68" s="922" t="s">
        <v>621</v>
      </c>
      <c r="AC68" s="922" t="s">
        <v>621</v>
      </c>
      <c r="AD68" s="922" t="s">
        <v>621</v>
      </c>
      <c r="AE68" s="922" t="s">
        <v>621</v>
      </c>
      <c r="AF68" s="922" t="s">
        <v>621</v>
      </c>
      <c r="AG68" s="922" t="s">
        <v>621</v>
      </c>
      <c r="AH68" s="922" t="s">
        <v>621</v>
      </c>
      <c r="AI68" s="922" t="s">
        <v>621</v>
      </c>
      <c r="AJ68" s="922" t="s">
        <v>621</v>
      </c>
      <c r="AK68" s="922" t="s">
        <v>621</v>
      </c>
      <c r="AL68" s="922" t="s">
        <v>621</v>
      </c>
      <c r="AM68" s="922" t="s">
        <v>621</v>
      </c>
      <c r="AN68" s="922" t="s">
        <v>621</v>
      </c>
      <c r="AO68" s="922" t="s">
        <v>621</v>
      </c>
      <c r="AP68" s="922" t="s">
        <v>621</v>
      </c>
      <c r="AQ68" s="922" t="s">
        <v>621</v>
      </c>
      <c r="AR68" s="922" t="s">
        <v>621</v>
      </c>
      <c r="AS68" s="922" t="s">
        <v>621</v>
      </c>
      <c r="AT68" s="965"/>
      <c r="AU68" s="965"/>
    </row>
    <row r="69" spans="1:47" s="440" customFormat="1" ht="57.75" customHeight="1" x14ac:dyDescent="0.45">
      <c r="A69" s="657" t="s">
        <v>892</v>
      </c>
      <c r="B69" s="987" t="s">
        <v>1719</v>
      </c>
      <c r="C69" s="922" t="str">
        <f>CONCATENATE("J","_",2022,"_",A69)</f>
        <v>J_2022_1.2.4.2.8</v>
      </c>
      <c r="D69" s="922" t="s">
        <v>621</v>
      </c>
      <c r="E69" s="922" t="s">
        <v>621</v>
      </c>
      <c r="F69" s="922" t="s">
        <v>621</v>
      </c>
      <c r="G69" s="922" t="s">
        <v>621</v>
      </c>
      <c r="H69" s="922" t="s">
        <v>621</v>
      </c>
      <c r="I69" s="922" t="s">
        <v>621</v>
      </c>
      <c r="J69" s="922" t="s">
        <v>621</v>
      </c>
      <c r="K69" s="922" t="s">
        <v>621</v>
      </c>
      <c r="L69" s="922">
        <v>38</v>
      </c>
      <c r="M69" s="922">
        <v>31</v>
      </c>
      <c r="N69" s="922" t="s">
        <v>621</v>
      </c>
      <c r="O69" s="922" t="s">
        <v>621</v>
      </c>
      <c r="P69" s="922" t="s">
        <v>621</v>
      </c>
      <c r="Q69" s="922" t="s">
        <v>621</v>
      </c>
      <c r="R69" s="922" t="s">
        <v>621</v>
      </c>
      <c r="S69" s="922" t="s">
        <v>621</v>
      </c>
      <c r="T69" s="922" t="s">
        <v>621</v>
      </c>
      <c r="U69" s="922" t="s">
        <v>621</v>
      </c>
      <c r="V69" s="922" t="s">
        <v>621</v>
      </c>
      <c r="W69" s="922" t="s">
        <v>621</v>
      </c>
      <c r="X69" s="922" t="s">
        <v>621</v>
      </c>
      <c r="Y69" s="922" t="s">
        <v>621</v>
      </c>
      <c r="Z69" s="922" t="s">
        <v>621</v>
      </c>
      <c r="AA69" s="922" t="s">
        <v>621</v>
      </c>
      <c r="AB69" s="922" t="s">
        <v>621</v>
      </c>
      <c r="AC69" s="922" t="s">
        <v>621</v>
      </c>
      <c r="AD69" s="922" t="s">
        <v>621</v>
      </c>
      <c r="AE69" s="922" t="s">
        <v>621</v>
      </c>
      <c r="AF69" s="922" t="s">
        <v>621</v>
      </c>
      <c r="AG69" s="922" t="s">
        <v>621</v>
      </c>
      <c r="AH69" s="922" t="s">
        <v>621</v>
      </c>
      <c r="AI69" s="922" t="s">
        <v>621</v>
      </c>
      <c r="AJ69" s="922" t="s">
        <v>621</v>
      </c>
      <c r="AK69" s="922" t="s">
        <v>621</v>
      </c>
      <c r="AL69" s="922" t="s">
        <v>621</v>
      </c>
      <c r="AM69" s="922" t="s">
        <v>621</v>
      </c>
      <c r="AN69" s="922" t="s">
        <v>621</v>
      </c>
      <c r="AO69" s="922" t="s">
        <v>621</v>
      </c>
      <c r="AP69" s="922" t="s">
        <v>621</v>
      </c>
      <c r="AQ69" s="922" t="s">
        <v>621</v>
      </c>
      <c r="AR69" s="922" t="s">
        <v>621</v>
      </c>
      <c r="AS69" s="922" t="s">
        <v>621</v>
      </c>
    </row>
    <row r="70" spans="1:47" ht="167.25" hidden="1" x14ac:dyDescent="0.45">
      <c r="A70" s="657" t="s">
        <v>722</v>
      </c>
      <c r="B70" s="987" t="s">
        <v>708</v>
      </c>
      <c r="C70" s="922" t="str">
        <f t="shared" ref="C70:C77" si="3">CONCATENATE("J","_",2022,"_",A70)</f>
        <v>J_2022_1.3</v>
      </c>
      <c r="D70" s="922" t="s">
        <v>621</v>
      </c>
      <c r="E70" s="922" t="s">
        <v>621</v>
      </c>
      <c r="F70" s="922" t="s">
        <v>621</v>
      </c>
      <c r="G70" s="922" t="s">
        <v>621</v>
      </c>
      <c r="H70" s="922" t="s">
        <v>621</v>
      </c>
      <c r="I70" s="922" t="s">
        <v>621</v>
      </c>
      <c r="J70" s="922" t="s">
        <v>621</v>
      </c>
      <c r="K70" s="922" t="s">
        <v>621</v>
      </c>
      <c r="L70" s="922">
        <v>39</v>
      </c>
      <c r="M70" s="922" t="s">
        <v>621</v>
      </c>
      <c r="N70" s="922" t="s">
        <v>621</v>
      </c>
      <c r="O70" s="922" t="s">
        <v>621</v>
      </c>
      <c r="P70" s="922" t="s">
        <v>621</v>
      </c>
      <c r="Q70" s="922" t="s">
        <v>621</v>
      </c>
      <c r="R70" s="922" t="s">
        <v>621</v>
      </c>
      <c r="S70" s="922" t="s">
        <v>621</v>
      </c>
      <c r="T70" s="922" t="s">
        <v>621</v>
      </c>
      <c r="U70" s="922" t="s">
        <v>621</v>
      </c>
      <c r="V70" s="922" t="s">
        <v>621</v>
      </c>
      <c r="W70" s="922" t="s">
        <v>621</v>
      </c>
      <c r="X70" s="922" t="s">
        <v>621</v>
      </c>
      <c r="Y70" s="922" t="s">
        <v>621</v>
      </c>
      <c r="Z70" s="922" t="s">
        <v>621</v>
      </c>
      <c r="AA70" s="922" t="s">
        <v>621</v>
      </c>
      <c r="AB70" s="922" t="s">
        <v>621</v>
      </c>
      <c r="AC70" s="922" t="s">
        <v>621</v>
      </c>
      <c r="AD70" s="922" t="s">
        <v>621</v>
      </c>
      <c r="AE70" s="922" t="s">
        <v>621</v>
      </c>
      <c r="AF70" s="922" t="s">
        <v>621</v>
      </c>
      <c r="AG70" s="922" t="s">
        <v>621</v>
      </c>
      <c r="AH70" s="922" t="s">
        <v>621</v>
      </c>
      <c r="AI70" s="922" t="s">
        <v>621</v>
      </c>
      <c r="AJ70" s="922" t="s">
        <v>621</v>
      </c>
      <c r="AK70" s="922" t="s">
        <v>621</v>
      </c>
      <c r="AL70" s="922" t="s">
        <v>621</v>
      </c>
      <c r="AM70" s="922" t="s">
        <v>621</v>
      </c>
      <c r="AN70" s="922" t="s">
        <v>621</v>
      </c>
      <c r="AO70" s="922" t="s">
        <v>621</v>
      </c>
      <c r="AP70" s="922" t="s">
        <v>621</v>
      </c>
      <c r="AQ70" s="922" t="s">
        <v>621</v>
      </c>
      <c r="AR70" s="922" t="s">
        <v>621</v>
      </c>
      <c r="AS70" s="922" t="s">
        <v>621</v>
      </c>
    </row>
    <row r="71" spans="1:47" ht="139.5" hidden="1" x14ac:dyDescent="0.45">
      <c r="A71" s="657" t="s">
        <v>723</v>
      </c>
      <c r="B71" s="987" t="s">
        <v>709</v>
      </c>
      <c r="C71" s="922" t="str">
        <f t="shared" si="3"/>
        <v>J_2022_1.3.1</v>
      </c>
      <c r="D71" s="922" t="s">
        <v>621</v>
      </c>
      <c r="E71" s="922" t="s">
        <v>621</v>
      </c>
      <c r="F71" s="922" t="s">
        <v>621</v>
      </c>
      <c r="G71" s="922" t="s">
        <v>621</v>
      </c>
      <c r="H71" s="922" t="s">
        <v>621</v>
      </c>
      <c r="I71" s="922" t="s">
        <v>621</v>
      </c>
      <c r="J71" s="922" t="s">
        <v>621</v>
      </c>
      <c r="K71" s="922" t="s">
        <v>621</v>
      </c>
      <c r="L71" s="922">
        <v>40</v>
      </c>
      <c r="M71" s="922" t="s">
        <v>621</v>
      </c>
      <c r="N71" s="922" t="s">
        <v>621</v>
      </c>
      <c r="O71" s="922" t="s">
        <v>621</v>
      </c>
      <c r="P71" s="922" t="s">
        <v>621</v>
      </c>
      <c r="Q71" s="922" t="s">
        <v>621</v>
      </c>
      <c r="R71" s="922" t="s">
        <v>621</v>
      </c>
      <c r="S71" s="922" t="s">
        <v>621</v>
      </c>
      <c r="T71" s="922" t="s">
        <v>621</v>
      </c>
      <c r="U71" s="922" t="s">
        <v>621</v>
      </c>
      <c r="V71" s="922" t="s">
        <v>621</v>
      </c>
      <c r="W71" s="922" t="s">
        <v>621</v>
      </c>
      <c r="X71" s="922" t="s">
        <v>621</v>
      </c>
      <c r="Y71" s="922" t="s">
        <v>621</v>
      </c>
      <c r="Z71" s="922" t="s">
        <v>621</v>
      </c>
      <c r="AA71" s="922" t="s">
        <v>621</v>
      </c>
      <c r="AB71" s="922" t="s">
        <v>621</v>
      </c>
      <c r="AC71" s="922" t="s">
        <v>621</v>
      </c>
      <c r="AD71" s="922" t="s">
        <v>621</v>
      </c>
      <c r="AE71" s="922" t="s">
        <v>621</v>
      </c>
      <c r="AF71" s="922" t="s">
        <v>621</v>
      </c>
      <c r="AG71" s="922" t="s">
        <v>621</v>
      </c>
      <c r="AH71" s="922" t="s">
        <v>621</v>
      </c>
      <c r="AI71" s="922" t="s">
        <v>621</v>
      </c>
      <c r="AJ71" s="922" t="s">
        <v>621</v>
      </c>
      <c r="AK71" s="922" t="s">
        <v>621</v>
      </c>
      <c r="AL71" s="922" t="s">
        <v>621</v>
      </c>
      <c r="AM71" s="922" t="s">
        <v>621</v>
      </c>
      <c r="AN71" s="922" t="s">
        <v>621</v>
      </c>
      <c r="AO71" s="922" t="s">
        <v>621</v>
      </c>
      <c r="AP71" s="922" t="s">
        <v>621</v>
      </c>
      <c r="AQ71" s="922" t="s">
        <v>621</v>
      </c>
      <c r="AR71" s="922" t="s">
        <v>621</v>
      </c>
      <c r="AS71" s="922" t="s">
        <v>621</v>
      </c>
    </row>
    <row r="72" spans="1:47" ht="139.5" hidden="1" x14ac:dyDescent="0.45">
      <c r="A72" s="657" t="s">
        <v>724</v>
      </c>
      <c r="B72" s="987" t="s">
        <v>710</v>
      </c>
      <c r="C72" s="922" t="str">
        <f t="shared" si="3"/>
        <v>J_2022_1.3.2</v>
      </c>
      <c r="D72" s="922" t="s">
        <v>621</v>
      </c>
      <c r="E72" s="922" t="s">
        <v>621</v>
      </c>
      <c r="F72" s="922" t="s">
        <v>621</v>
      </c>
      <c r="G72" s="922" t="s">
        <v>621</v>
      </c>
      <c r="H72" s="922" t="s">
        <v>621</v>
      </c>
      <c r="I72" s="922" t="s">
        <v>621</v>
      </c>
      <c r="J72" s="922" t="s">
        <v>621</v>
      </c>
      <c r="K72" s="922" t="s">
        <v>621</v>
      </c>
      <c r="L72" s="922">
        <v>41</v>
      </c>
      <c r="M72" s="922" t="s">
        <v>621</v>
      </c>
      <c r="N72" s="922" t="s">
        <v>621</v>
      </c>
      <c r="O72" s="922" t="s">
        <v>621</v>
      </c>
      <c r="P72" s="922" t="s">
        <v>621</v>
      </c>
      <c r="Q72" s="922" t="s">
        <v>621</v>
      </c>
      <c r="R72" s="922" t="s">
        <v>621</v>
      </c>
      <c r="S72" s="922" t="s">
        <v>621</v>
      </c>
      <c r="T72" s="922" t="s">
        <v>621</v>
      </c>
      <c r="U72" s="922" t="s">
        <v>621</v>
      </c>
      <c r="V72" s="922" t="s">
        <v>621</v>
      </c>
      <c r="W72" s="922" t="s">
        <v>621</v>
      </c>
      <c r="X72" s="922" t="s">
        <v>621</v>
      </c>
      <c r="Y72" s="922" t="s">
        <v>621</v>
      </c>
      <c r="Z72" s="922" t="s">
        <v>621</v>
      </c>
      <c r="AA72" s="922" t="s">
        <v>621</v>
      </c>
      <c r="AB72" s="922" t="s">
        <v>621</v>
      </c>
      <c r="AC72" s="922" t="s">
        <v>621</v>
      </c>
      <c r="AD72" s="922" t="s">
        <v>621</v>
      </c>
      <c r="AE72" s="922" t="s">
        <v>621</v>
      </c>
      <c r="AF72" s="922" t="s">
        <v>621</v>
      </c>
      <c r="AG72" s="922" t="s">
        <v>621</v>
      </c>
      <c r="AH72" s="922" t="s">
        <v>621</v>
      </c>
      <c r="AI72" s="922" t="s">
        <v>621</v>
      </c>
      <c r="AJ72" s="922" t="s">
        <v>621</v>
      </c>
      <c r="AK72" s="922" t="s">
        <v>621</v>
      </c>
      <c r="AL72" s="922" t="s">
        <v>621</v>
      </c>
      <c r="AM72" s="922" t="s">
        <v>621</v>
      </c>
      <c r="AN72" s="922" t="s">
        <v>621</v>
      </c>
      <c r="AO72" s="922" t="s">
        <v>621</v>
      </c>
      <c r="AP72" s="922" t="s">
        <v>621</v>
      </c>
      <c r="AQ72" s="922" t="s">
        <v>621</v>
      </c>
      <c r="AR72" s="922" t="s">
        <v>621</v>
      </c>
      <c r="AS72" s="922" t="s">
        <v>621</v>
      </c>
    </row>
    <row r="73" spans="1:47" ht="82.5" hidden="1" x14ac:dyDescent="0.45">
      <c r="A73" s="981" t="s">
        <v>742</v>
      </c>
      <c r="B73" s="966" t="s">
        <v>688</v>
      </c>
      <c r="C73" s="922" t="str">
        <f t="shared" si="3"/>
        <v>J_2022_1.4</v>
      </c>
      <c r="D73" s="922" t="s">
        <v>621</v>
      </c>
      <c r="E73" s="922" t="s">
        <v>621</v>
      </c>
      <c r="F73" s="922" t="s">
        <v>621</v>
      </c>
      <c r="G73" s="922" t="s">
        <v>621</v>
      </c>
      <c r="H73" s="922" t="s">
        <v>621</v>
      </c>
      <c r="I73" s="922" t="s">
        <v>621</v>
      </c>
      <c r="J73" s="922" t="s">
        <v>621</v>
      </c>
      <c r="K73" s="922" t="s">
        <v>621</v>
      </c>
      <c r="L73" s="922">
        <v>42</v>
      </c>
      <c r="M73" s="922" t="s">
        <v>621</v>
      </c>
      <c r="N73" s="922" t="s">
        <v>621</v>
      </c>
      <c r="O73" s="922" t="s">
        <v>621</v>
      </c>
      <c r="P73" s="922" t="s">
        <v>621</v>
      </c>
      <c r="Q73" s="922" t="s">
        <v>621</v>
      </c>
      <c r="R73" s="922" t="s">
        <v>621</v>
      </c>
      <c r="S73" s="922" t="s">
        <v>621</v>
      </c>
      <c r="T73" s="922" t="s">
        <v>621</v>
      </c>
      <c r="U73" s="922" t="s">
        <v>621</v>
      </c>
      <c r="V73" s="922" t="s">
        <v>621</v>
      </c>
      <c r="W73" s="922" t="s">
        <v>621</v>
      </c>
      <c r="X73" s="922" t="s">
        <v>621</v>
      </c>
      <c r="Y73" s="922" t="s">
        <v>621</v>
      </c>
      <c r="Z73" s="922" t="s">
        <v>621</v>
      </c>
      <c r="AA73" s="922" t="s">
        <v>621</v>
      </c>
      <c r="AB73" s="922" t="s">
        <v>621</v>
      </c>
      <c r="AC73" s="922" t="s">
        <v>621</v>
      </c>
      <c r="AD73" s="922" t="s">
        <v>621</v>
      </c>
      <c r="AE73" s="922" t="s">
        <v>621</v>
      </c>
      <c r="AF73" s="922" t="s">
        <v>621</v>
      </c>
      <c r="AG73" s="922" t="s">
        <v>621</v>
      </c>
      <c r="AH73" s="922" t="s">
        <v>621</v>
      </c>
      <c r="AI73" s="922" t="s">
        <v>621</v>
      </c>
      <c r="AJ73" s="922" t="s">
        <v>621</v>
      </c>
      <c r="AK73" s="922" t="s">
        <v>621</v>
      </c>
      <c r="AL73" s="922" t="s">
        <v>621</v>
      </c>
      <c r="AM73" s="922" t="s">
        <v>621</v>
      </c>
      <c r="AN73" s="922" t="s">
        <v>621</v>
      </c>
      <c r="AO73" s="922" t="s">
        <v>621</v>
      </c>
      <c r="AP73" s="922" t="s">
        <v>621</v>
      </c>
      <c r="AQ73" s="922" t="s">
        <v>621</v>
      </c>
      <c r="AR73" s="922" t="s">
        <v>621</v>
      </c>
      <c r="AS73" s="922" t="s">
        <v>621</v>
      </c>
    </row>
    <row r="74" spans="1:47" ht="82.5" hidden="1" x14ac:dyDescent="0.45">
      <c r="A74" s="981" t="s">
        <v>743</v>
      </c>
      <c r="B74" s="966" t="s">
        <v>689</v>
      </c>
      <c r="C74" s="922" t="str">
        <f t="shared" si="3"/>
        <v>J_2022_1.5</v>
      </c>
      <c r="D74" s="922" t="s">
        <v>621</v>
      </c>
      <c r="E74" s="922" t="s">
        <v>621</v>
      </c>
      <c r="F74" s="922" t="s">
        <v>621</v>
      </c>
      <c r="G74" s="922" t="s">
        <v>621</v>
      </c>
      <c r="H74" s="922" t="s">
        <v>621</v>
      </c>
      <c r="I74" s="922" t="s">
        <v>621</v>
      </c>
      <c r="J74" s="922" t="s">
        <v>621</v>
      </c>
      <c r="K74" s="922" t="s">
        <v>621</v>
      </c>
      <c r="L74" s="922">
        <v>43</v>
      </c>
      <c r="M74" s="922" t="s">
        <v>621</v>
      </c>
      <c r="N74" s="922" t="s">
        <v>621</v>
      </c>
      <c r="O74" s="922" t="s">
        <v>621</v>
      </c>
      <c r="P74" s="922" t="s">
        <v>621</v>
      </c>
      <c r="Q74" s="922" t="s">
        <v>621</v>
      </c>
      <c r="R74" s="922" t="s">
        <v>621</v>
      </c>
      <c r="S74" s="922" t="s">
        <v>621</v>
      </c>
      <c r="T74" s="922" t="s">
        <v>621</v>
      </c>
      <c r="U74" s="922" t="s">
        <v>621</v>
      </c>
      <c r="V74" s="922" t="s">
        <v>621</v>
      </c>
      <c r="W74" s="922" t="s">
        <v>621</v>
      </c>
      <c r="X74" s="922" t="s">
        <v>621</v>
      </c>
      <c r="Y74" s="922" t="s">
        <v>621</v>
      </c>
      <c r="Z74" s="922" t="s">
        <v>621</v>
      </c>
      <c r="AA74" s="922" t="s">
        <v>621</v>
      </c>
      <c r="AB74" s="922" t="s">
        <v>621</v>
      </c>
      <c r="AC74" s="922" t="s">
        <v>621</v>
      </c>
      <c r="AD74" s="922" t="s">
        <v>621</v>
      </c>
      <c r="AE74" s="922" t="s">
        <v>621</v>
      </c>
      <c r="AF74" s="922" t="s">
        <v>621</v>
      </c>
      <c r="AG74" s="922" t="s">
        <v>621</v>
      </c>
      <c r="AH74" s="922" t="s">
        <v>621</v>
      </c>
      <c r="AI74" s="922" t="s">
        <v>621</v>
      </c>
      <c r="AJ74" s="922" t="s">
        <v>621</v>
      </c>
      <c r="AK74" s="922" t="s">
        <v>621</v>
      </c>
      <c r="AL74" s="922" t="s">
        <v>621</v>
      </c>
      <c r="AM74" s="922" t="s">
        <v>621</v>
      </c>
      <c r="AN74" s="922" t="s">
        <v>621</v>
      </c>
      <c r="AO74" s="922" t="s">
        <v>621</v>
      </c>
      <c r="AP74" s="922" t="s">
        <v>621</v>
      </c>
      <c r="AQ74" s="922" t="s">
        <v>621</v>
      </c>
      <c r="AR74" s="922" t="s">
        <v>621</v>
      </c>
      <c r="AS74" s="922" t="s">
        <v>621</v>
      </c>
    </row>
    <row r="75" spans="1:47" ht="25.5" hidden="1" customHeight="1" x14ac:dyDescent="0.45">
      <c r="A75" s="981" t="s">
        <v>741</v>
      </c>
      <c r="B75" s="966" t="s">
        <v>690</v>
      </c>
      <c r="C75" s="922" t="str">
        <f t="shared" si="3"/>
        <v>J_2022_1.6</v>
      </c>
      <c r="D75" s="922" t="s">
        <v>621</v>
      </c>
      <c r="E75" s="922" t="s">
        <v>621</v>
      </c>
      <c r="F75" s="922" t="s">
        <v>621</v>
      </c>
      <c r="G75" s="922" t="s">
        <v>621</v>
      </c>
      <c r="H75" s="922" t="s">
        <v>621</v>
      </c>
      <c r="I75" s="922" t="s">
        <v>621</v>
      </c>
      <c r="J75" s="922" t="s">
        <v>621</v>
      </c>
      <c r="K75" s="922" t="s">
        <v>621</v>
      </c>
      <c r="L75" s="922">
        <v>44</v>
      </c>
      <c r="M75" s="922" t="s">
        <v>621</v>
      </c>
      <c r="N75" s="922" t="s">
        <v>621</v>
      </c>
      <c r="O75" s="922" t="s">
        <v>621</v>
      </c>
      <c r="P75" s="922" t="s">
        <v>621</v>
      </c>
      <c r="Q75" s="922" t="s">
        <v>621</v>
      </c>
      <c r="R75" s="922" t="s">
        <v>621</v>
      </c>
      <c r="S75" s="922" t="s">
        <v>621</v>
      </c>
      <c r="T75" s="922" t="s">
        <v>621</v>
      </c>
      <c r="U75" s="922" t="s">
        <v>621</v>
      </c>
      <c r="V75" s="922" t="s">
        <v>621</v>
      </c>
      <c r="W75" s="922" t="s">
        <v>621</v>
      </c>
      <c r="X75" s="922" t="s">
        <v>621</v>
      </c>
      <c r="Y75" s="922" t="s">
        <v>621</v>
      </c>
      <c r="Z75" s="922" t="s">
        <v>621</v>
      </c>
      <c r="AA75" s="922" t="s">
        <v>621</v>
      </c>
      <c r="AB75" s="922" t="s">
        <v>621</v>
      </c>
      <c r="AC75" s="922" t="s">
        <v>621</v>
      </c>
      <c r="AD75" s="922" t="s">
        <v>621</v>
      </c>
      <c r="AE75" s="922" t="s">
        <v>621</v>
      </c>
      <c r="AF75" s="922" t="s">
        <v>621</v>
      </c>
      <c r="AG75" s="922" t="s">
        <v>621</v>
      </c>
      <c r="AH75" s="922" t="s">
        <v>621</v>
      </c>
      <c r="AI75" s="922" t="s">
        <v>621</v>
      </c>
      <c r="AJ75" s="922" t="s">
        <v>621</v>
      </c>
      <c r="AK75" s="922" t="s">
        <v>621</v>
      </c>
      <c r="AL75" s="922" t="s">
        <v>621</v>
      </c>
      <c r="AM75" s="922" t="s">
        <v>621</v>
      </c>
      <c r="AN75" s="922" t="s">
        <v>621</v>
      </c>
      <c r="AO75" s="922" t="s">
        <v>621</v>
      </c>
      <c r="AP75" s="922" t="s">
        <v>621</v>
      </c>
      <c r="AQ75" s="922" t="s">
        <v>621</v>
      </c>
      <c r="AR75" s="922" t="s">
        <v>621</v>
      </c>
      <c r="AS75" s="922" t="s">
        <v>621</v>
      </c>
    </row>
    <row r="76" spans="1:47" ht="90.75" customHeight="1" x14ac:dyDescent="0.45">
      <c r="A76" s="657" t="s">
        <v>921</v>
      </c>
      <c r="B76" s="988" t="s">
        <v>1717</v>
      </c>
      <c r="C76" s="922" t="str">
        <f t="shared" si="3"/>
        <v>J_2022_1.2.4.2.19</v>
      </c>
      <c r="D76" s="922" t="s">
        <v>621</v>
      </c>
      <c r="E76" s="922" t="s">
        <v>621</v>
      </c>
      <c r="F76" s="922" t="s">
        <v>621</v>
      </c>
      <c r="G76" s="922" t="s">
        <v>621</v>
      </c>
      <c r="H76" s="922" t="s">
        <v>621</v>
      </c>
      <c r="I76" s="922" t="s">
        <v>621</v>
      </c>
      <c r="J76" s="922" t="s">
        <v>621</v>
      </c>
      <c r="K76" s="922" t="s">
        <v>621</v>
      </c>
      <c r="L76" s="922" t="s">
        <v>621</v>
      </c>
      <c r="M76" s="922">
        <v>11</v>
      </c>
      <c r="N76" s="922" t="s">
        <v>621</v>
      </c>
      <c r="O76" s="922" t="s">
        <v>621</v>
      </c>
      <c r="P76" s="922" t="s">
        <v>621</v>
      </c>
      <c r="Q76" s="922" t="s">
        <v>621</v>
      </c>
      <c r="R76" s="922" t="s">
        <v>621</v>
      </c>
      <c r="S76" s="922" t="s">
        <v>621</v>
      </c>
      <c r="T76" s="922" t="s">
        <v>621</v>
      </c>
      <c r="U76" s="922" t="s">
        <v>621</v>
      </c>
      <c r="V76" s="922" t="s">
        <v>621</v>
      </c>
      <c r="W76" s="922" t="s">
        <v>621</v>
      </c>
      <c r="X76" s="922" t="s">
        <v>621</v>
      </c>
      <c r="Y76" s="922" t="s">
        <v>621</v>
      </c>
      <c r="Z76" s="922" t="s">
        <v>621</v>
      </c>
      <c r="AA76" s="922" t="s">
        <v>621</v>
      </c>
      <c r="AB76" s="922" t="s">
        <v>621</v>
      </c>
      <c r="AC76" s="922" t="s">
        <v>621</v>
      </c>
      <c r="AD76" s="922" t="s">
        <v>621</v>
      </c>
      <c r="AE76" s="922" t="s">
        <v>621</v>
      </c>
      <c r="AF76" s="922" t="s">
        <v>621</v>
      </c>
      <c r="AG76" s="922" t="s">
        <v>621</v>
      </c>
      <c r="AH76" s="922" t="s">
        <v>621</v>
      </c>
      <c r="AI76" s="922" t="s">
        <v>621</v>
      </c>
      <c r="AJ76" s="922" t="s">
        <v>621</v>
      </c>
      <c r="AK76" s="922" t="s">
        <v>621</v>
      </c>
      <c r="AL76" s="922" t="s">
        <v>621</v>
      </c>
      <c r="AM76" s="922" t="s">
        <v>621</v>
      </c>
      <c r="AN76" s="922" t="s">
        <v>621</v>
      </c>
      <c r="AO76" s="922" t="s">
        <v>621</v>
      </c>
      <c r="AP76" s="922" t="s">
        <v>621</v>
      </c>
      <c r="AQ76" s="922" t="s">
        <v>621</v>
      </c>
      <c r="AR76" s="922" t="s">
        <v>621</v>
      </c>
      <c r="AS76" s="922" t="s">
        <v>621</v>
      </c>
    </row>
    <row r="77" spans="1:47" ht="56.25" x14ac:dyDescent="0.45">
      <c r="A77" s="657" t="s">
        <v>918</v>
      </c>
      <c r="B77" s="988" t="s">
        <v>1718</v>
      </c>
      <c r="C77" s="922" t="str">
        <f t="shared" si="3"/>
        <v>J_2022_1.2.4.2.20</v>
      </c>
      <c r="D77" s="922" t="s">
        <v>621</v>
      </c>
      <c r="E77" s="922" t="s">
        <v>621</v>
      </c>
      <c r="F77" s="922" t="s">
        <v>621</v>
      </c>
      <c r="G77" s="922" t="s">
        <v>621</v>
      </c>
      <c r="H77" s="922" t="s">
        <v>621</v>
      </c>
      <c r="I77" s="922" t="s">
        <v>621</v>
      </c>
      <c r="J77" s="922" t="s">
        <v>621</v>
      </c>
      <c r="K77" s="922">
        <v>1.26</v>
      </c>
      <c r="L77" s="922" t="s">
        <v>621</v>
      </c>
      <c r="M77" s="922" t="s">
        <v>621</v>
      </c>
      <c r="N77" s="922" t="s">
        <v>621</v>
      </c>
      <c r="O77" s="922" t="s">
        <v>621</v>
      </c>
      <c r="P77" s="922" t="s">
        <v>621</v>
      </c>
      <c r="Q77" s="922" t="s">
        <v>621</v>
      </c>
      <c r="R77" s="922" t="s">
        <v>621</v>
      </c>
      <c r="S77" s="922" t="s">
        <v>621</v>
      </c>
      <c r="T77" s="922" t="s">
        <v>621</v>
      </c>
      <c r="U77" s="922" t="s">
        <v>621</v>
      </c>
      <c r="V77" s="922" t="s">
        <v>621</v>
      </c>
      <c r="W77" s="922" t="s">
        <v>621</v>
      </c>
      <c r="X77" s="922" t="s">
        <v>621</v>
      </c>
      <c r="Y77" s="922" t="s">
        <v>621</v>
      </c>
      <c r="Z77" s="922" t="s">
        <v>621</v>
      </c>
      <c r="AA77" s="922" t="s">
        <v>621</v>
      </c>
      <c r="AB77" s="922" t="s">
        <v>621</v>
      </c>
      <c r="AC77" s="922" t="s">
        <v>621</v>
      </c>
      <c r="AD77" s="922" t="s">
        <v>621</v>
      </c>
      <c r="AE77" s="922" t="s">
        <v>621</v>
      </c>
      <c r="AF77" s="922" t="s">
        <v>621</v>
      </c>
      <c r="AG77" s="922" t="s">
        <v>621</v>
      </c>
      <c r="AH77" s="922" t="s">
        <v>621</v>
      </c>
      <c r="AI77" s="922" t="s">
        <v>621</v>
      </c>
      <c r="AJ77" s="922" t="s">
        <v>621</v>
      </c>
      <c r="AK77" s="922" t="s">
        <v>621</v>
      </c>
      <c r="AL77" s="922" t="s">
        <v>621</v>
      </c>
      <c r="AM77" s="922" t="s">
        <v>621</v>
      </c>
      <c r="AN77" s="922" t="s">
        <v>621</v>
      </c>
      <c r="AO77" s="922" t="s">
        <v>621</v>
      </c>
      <c r="AP77" s="922" t="s">
        <v>621</v>
      </c>
      <c r="AQ77" s="922" t="s">
        <v>621</v>
      </c>
      <c r="AR77" s="922" t="s">
        <v>621</v>
      </c>
      <c r="AS77" s="922" t="s">
        <v>621</v>
      </c>
    </row>
    <row r="78" spans="1:47" x14ac:dyDescent="0.35">
      <c r="A78" s="360"/>
      <c r="B78" s="360"/>
      <c r="C78" s="360"/>
      <c r="D78" s="360"/>
      <c r="E78" s="360"/>
      <c r="F78" s="360"/>
      <c r="G78" s="360"/>
      <c r="H78" s="360"/>
      <c r="I78" s="360"/>
      <c r="J78" s="360"/>
      <c r="K78" s="360"/>
      <c r="L78" s="360"/>
      <c r="M78" s="360"/>
      <c r="N78" s="360"/>
      <c r="O78" s="360"/>
      <c r="P78" s="360"/>
      <c r="Q78" s="360"/>
    </row>
    <row r="79" spans="1:47" s="238" customFormat="1" ht="54.75" customHeight="1" x14ac:dyDescent="0.5">
      <c r="A79" s="486"/>
      <c r="B79" s="238" t="s">
        <v>1734</v>
      </c>
      <c r="W79" s="1135" t="s">
        <v>1652</v>
      </c>
      <c r="X79" s="1135"/>
      <c r="Y79" s="1135"/>
    </row>
    <row r="80" spans="1:47" ht="279.75" customHeight="1" x14ac:dyDescent="0.35">
      <c r="A80" s="360"/>
      <c r="B80" s="360"/>
      <c r="C80" s="360"/>
      <c r="D80" s="360"/>
      <c r="E80" s="360"/>
      <c r="F80" s="360"/>
      <c r="G80" s="360"/>
      <c r="H80" s="360"/>
      <c r="I80" s="360"/>
      <c r="J80" s="360"/>
      <c r="K80" s="360"/>
      <c r="L80" s="360"/>
      <c r="M80" s="360"/>
      <c r="N80" s="360"/>
      <c r="O80" s="360"/>
      <c r="P80" s="360"/>
      <c r="Q80" s="360"/>
    </row>
    <row r="81" s="238" customFormat="1" ht="35.25" customHeight="1" x14ac:dyDescent="0.5"/>
  </sheetData>
  <mergeCells count="43">
    <mergeCell ref="T17:U17"/>
    <mergeCell ref="V17:W17"/>
    <mergeCell ref="AN17:AO17"/>
    <mergeCell ref="AP17:AQ17"/>
    <mergeCell ref="AR17:AS17"/>
    <mergeCell ref="Z17:AA17"/>
    <mergeCell ref="AB17:AC17"/>
    <mergeCell ref="AD17:AE17"/>
    <mergeCell ref="AF17:AG17"/>
    <mergeCell ref="AH17:AI17"/>
    <mergeCell ref="AJ17:AK17"/>
    <mergeCell ref="J16:O16"/>
    <mergeCell ref="AN16:AS16"/>
    <mergeCell ref="D17:E17"/>
    <mergeCell ref="F17:G17"/>
    <mergeCell ref="H17:I17"/>
    <mergeCell ref="J17:K17"/>
    <mergeCell ref="L17:M17"/>
    <mergeCell ref="X17:Y17"/>
    <mergeCell ref="P16:U16"/>
    <mergeCell ref="V16:AA16"/>
    <mergeCell ref="AB16:AG16"/>
    <mergeCell ref="AH16:AM16"/>
    <mergeCell ref="AL17:AM17"/>
    <mergeCell ref="N17:O17"/>
    <mergeCell ref="P17:Q17"/>
    <mergeCell ref="R17:S17"/>
    <mergeCell ref="W79:Y79"/>
    <mergeCell ref="A8:AS8"/>
    <mergeCell ref="K2:L2"/>
    <mergeCell ref="M2:N2"/>
    <mergeCell ref="A4:AS4"/>
    <mergeCell ref="A5:AS5"/>
    <mergeCell ref="A7:AS7"/>
    <mergeCell ref="A10:AS10"/>
    <mergeCell ref="A12:AS12"/>
    <mergeCell ref="A13:AS13"/>
    <mergeCell ref="A14:AS14"/>
    <mergeCell ref="A15:A18"/>
    <mergeCell ref="B15:B18"/>
    <mergeCell ref="C15:C18"/>
    <mergeCell ref="D15:AS15"/>
    <mergeCell ref="D16:I16"/>
  </mergeCells>
  <printOptions horizontalCentered="1"/>
  <pageMargins left="0.19685039370078741" right="0.19685039370078741" top="0.74803149606299213" bottom="0.35433070866141736" header="0.31496062992125984" footer="0.31496062992125984"/>
  <pageSetup paperSize="8"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80"/>
  <sheetViews>
    <sheetView view="pageBreakPreview" topLeftCell="A49" zoomScale="50" zoomScaleNormal="70" zoomScaleSheetLayoutView="50" workbookViewId="0">
      <selection activeCell="K20" sqref="K20"/>
    </sheetView>
  </sheetViews>
  <sheetFormatPr defaultRowHeight="23.25" x14ac:dyDescent="0.35"/>
  <cols>
    <col min="1" max="1" width="13.625" style="136" customWidth="1"/>
    <col min="2" max="2" width="79.75" style="136" customWidth="1"/>
    <col min="3" max="3" width="29" style="136" customWidth="1"/>
    <col min="4" max="8" width="9.125" style="136" customWidth="1"/>
    <col min="9" max="9" width="11.875" style="136" customWidth="1"/>
    <col min="10" max="13" width="9.125" style="136" customWidth="1"/>
    <col min="14" max="14" width="12.125" style="136" customWidth="1"/>
    <col min="15" max="15" width="10.125" style="136" customWidth="1"/>
    <col min="16" max="19" width="9.125" style="136" customWidth="1"/>
    <col min="20" max="21" width="12.375" style="136" customWidth="1"/>
    <col min="22" max="45" width="9.125" style="136" customWidth="1"/>
    <col min="46" max="16384" width="9" style="136"/>
  </cols>
  <sheetData>
    <row r="1" spans="1:58" x14ac:dyDescent="0.35">
      <c r="AS1" s="364" t="s">
        <v>266</v>
      </c>
    </row>
    <row r="2" spans="1:58" x14ac:dyDescent="0.35">
      <c r="J2" s="365"/>
      <c r="K2" s="1127"/>
      <c r="L2" s="1127"/>
      <c r="M2" s="1127"/>
      <c r="N2" s="1127"/>
      <c r="O2" s="365"/>
      <c r="AS2" s="366" t="s">
        <v>1</v>
      </c>
    </row>
    <row r="3" spans="1:58" x14ac:dyDescent="0.35">
      <c r="J3" s="160"/>
      <c r="K3" s="160"/>
      <c r="L3" s="160"/>
      <c r="M3" s="160"/>
      <c r="N3" s="160"/>
      <c r="O3" s="160"/>
      <c r="AS3" s="366" t="s">
        <v>265</v>
      </c>
    </row>
    <row r="4" spans="1:58" x14ac:dyDescent="0.35">
      <c r="A4" s="1128" t="s">
        <v>673</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row>
    <row r="5" spans="1:58" x14ac:dyDescent="0.35">
      <c r="A5" s="1129" t="s">
        <v>929</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row>
    <row r="6" spans="1:58" ht="15.75" customHeight="1" x14ac:dyDescent="0.35"/>
    <row r="7" spans="1:58" ht="21.75" customHeight="1" x14ac:dyDescent="0.35">
      <c r="A7" s="1130" t="s">
        <v>926</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row>
    <row r="8" spans="1:58" ht="15.75" customHeight="1" x14ac:dyDescent="0.35">
      <c r="A8" s="1126" t="s">
        <v>313</v>
      </c>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row>
    <row r="10" spans="1:58" ht="25.5" customHeight="1" x14ac:dyDescent="0.35">
      <c r="A10" s="1130" t="s">
        <v>1698</v>
      </c>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row>
    <row r="11" spans="1:58" ht="15" customHeight="1" x14ac:dyDescent="0.3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row>
    <row r="12" spans="1:58" s="160" customFormat="1" ht="33.75" customHeight="1" x14ac:dyDescent="0.35">
      <c r="A12" s="1131" t="s">
        <v>940</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367"/>
      <c r="AU12" s="367"/>
      <c r="AV12" s="367"/>
      <c r="AW12" s="367"/>
      <c r="AX12" s="367"/>
      <c r="AY12" s="367"/>
      <c r="AZ12" s="367"/>
      <c r="BA12" s="367"/>
      <c r="BB12" s="367"/>
      <c r="BC12" s="367"/>
      <c r="BD12" s="367"/>
      <c r="BE12" s="367"/>
      <c r="BF12" s="367"/>
    </row>
    <row r="13" spans="1:58" s="160" customFormat="1" ht="15.75" customHeight="1" x14ac:dyDescent="0.35">
      <c r="A13" s="1131" t="s">
        <v>165</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367"/>
      <c r="AU13" s="367"/>
      <c r="AV13" s="367"/>
      <c r="AW13" s="367"/>
      <c r="AX13" s="367"/>
      <c r="AY13" s="367"/>
      <c r="AZ13" s="367"/>
      <c r="BA13" s="367"/>
      <c r="BB13" s="367"/>
      <c r="BC13" s="367"/>
      <c r="BD13" s="367"/>
      <c r="BE13" s="367"/>
      <c r="BF13" s="367"/>
    </row>
    <row r="14" spans="1:58" s="160" customFormat="1" ht="15.75" customHeight="1" x14ac:dyDescent="0.35">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1"/>
      <c r="AS14" s="1131"/>
      <c r="AT14" s="367"/>
      <c r="AU14" s="367"/>
      <c r="AV14" s="367"/>
      <c r="AW14" s="367"/>
      <c r="AX14" s="367"/>
      <c r="AY14" s="367"/>
      <c r="AZ14" s="367"/>
      <c r="BA14" s="367"/>
      <c r="BB14" s="367"/>
      <c r="BC14" s="367"/>
      <c r="BD14" s="367"/>
      <c r="BE14" s="367"/>
      <c r="BF14" s="367"/>
    </row>
    <row r="15" spans="1:58" s="368" customFormat="1" ht="33.75" customHeight="1" x14ac:dyDescent="0.25">
      <c r="A15" s="1132" t="s">
        <v>179</v>
      </c>
      <c r="B15" s="1132" t="s">
        <v>31</v>
      </c>
      <c r="C15" s="1132" t="s">
        <v>4</v>
      </c>
      <c r="D15" s="1132" t="s">
        <v>166</v>
      </c>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c r="AL15" s="1132"/>
      <c r="AM15" s="1132"/>
      <c r="AN15" s="1132"/>
      <c r="AO15" s="1132"/>
      <c r="AP15" s="1132"/>
      <c r="AQ15" s="1132"/>
      <c r="AR15" s="1132"/>
      <c r="AS15" s="1132"/>
    </row>
    <row r="16" spans="1:58" ht="130.5" customHeight="1" x14ac:dyDescent="0.35">
      <c r="A16" s="1132"/>
      <c r="B16" s="1132"/>
      <c r="C16" s="1132"/>
      <c r="D16" s="1132" t="s">
        <v>58</v>
      </c>
      <c r="E16" s="1132"/>
      <c r="F16" s="1132"/>
      <c r="G16" s="1132"/>
      <c r="H16" s="1132"/>
      <c r="I16" s="1132"/>
      <c r="J16" s="1132" t="s">
        <v>59</v>
      </c>
      <c r="K16" s="1132"/>
      <c r="L16" s="1132"/>
      <c r="M16" s="1132"/>
      <c r="N16" s="1132"/>
      <c r="O16" s="1132"/>
      <c r="P16" s="1132" t="s">
        <v>52</v>
      </c>
      <c r="Q16" s="1132"/>
      <c r="R16" s="1132"/>
      <c r="S16" s="1132"/>
      <c r="T16" s="1132"/>
      <c r="U16" s="1132"/>
      <c r="V16" s="1132" t="s">
        <v>53</v>
      </c>
      <c r="W16" s="1132"/>
      <c r="X16" s="1132"/>
      <c r="Y16" s="1132"/>
      <c r="Z16" s="1132"/>
      <c r="AA16" s="1132"/>
      <c r="AB16" s="1132" t="s">
        <v>33</v>
      </c>
      <c r="AC16" s="1132"/>
      <c r="AD16" s="1132"/>
      <c r="AE16" s="1132"/>
      <c r="AF16" s="1132"/>
      <c r="AG16" s="1132"/>
      <c r="AH16" s="1132" t="s">
        <v>50</v>
      </c>
      <c r="AI16" s="1132"/>
      <c r="AJ16" s="1132"/>
      <c r="AK16" s="1132"/>
      <c r="AL16" s="1132"/>
      <c r="AM16" s="1132"/>
      <c r="AN16" s="1132" t="s">
        <v>51</v>
      </c>
      <c r="AO16" s="1132"/>
      <c r="AP16" s="1132"/>
      <c r="AQ16" s="1132"/>
      <c r="AR16" s="1132"/>
      <c r="AS16" s="1132"/>
    </row>
    <row r="17" spans="1:45" s="369" customFormat="1" ht="336" customHeight="1" x14ac:dyDescent="0.35">
      <c r="A17" s="1132"/>
      <c r="B17" s="1132"/>
      <c r="C17" s="1132"/>
      <c r="D17" s="1133" t="s">
        <v>927</v>
      </c>
      <c r="E17" s="1133"/>
      <c r="F17" s="1133" t="s">
        <v>676</v>
      </c>
      <c r="G17" s="1133"/>
      <c r="H17" s="1133" t="s">
        <v>677</v>
      </c>
      <c r="I17" s="1133"/>
      <c r="J17" s="1133" t="s">
        <v>678</v>
      </c>
      <c r="K17" s="1133"/>
      <c r="L17" s="1133" t="s">
        <v>679</v>
      </c>
      <c r="M17" s="1133"/>
      <c r="N17" s="1133" t="s">
        <v>680</v>
      </c>
      <c r="O17" s="1133"/>
      <c r="P17" s="1133" t="s">
        <v>681</v>
      </c>
      <c r="Q17" s="1133"/>
      <c r="R17" s="1133" t="s">
        <v>682</v>
      </c>
      <c r="S17" s="1133"/>
      <c r="T17" s="1133" t="s">
        <v>1041</v>
      </c>
      <c r="U17" s="1133"/>
      <c r="V17" s="1134" t="s">
        <v>60</v>
      </c>
      <c r="W17" s="1134"/>
      <c r="X17" s="1134" t="s">
        <v>60</v>
      </c>
      <c r="Y17" s="1134"/>
      <c r="Z17" s="1134" t="s">
        <v>0</v>
      </c>
      <c r="AA17" s="1134"/>
      <c r="AB17" s="1134" t="s">
        <v>60</v>
      </c>
      <c r="AC17" s="1134"/>
      <c r="AD17" s="1134" t="s">
        <v>60</v>
      </c>
      <c r="AE17" s="1134"/>
      <c r="AF17" s="1134" t="s">
        <v>0</v>
      </c>
      <c r="AG17" s="1134"/>
      <c r="AH17" s="1134" t="s">
        <v>60</v>
      </c>
      <c r="AI17" s="1134"/>
      <c r="AJ17" s="1134" t="s">
        <v>60</v>
      </c>
      <c r="AK17" s="1134"/>
      <c r="AL17" s="1134" t="s">
        <v>0</v>
      </c>
      <c r="AM17" s="1134"/>
      <c r="AN17" s="1134" t="s">
        <v>60</v>
      </c>
      <c r="AO17" s="1134"/>
      <c r="AP17" s="1134" t="s">
        <v>60</v>
      </c>
      <c r="AQ17" s="1134"/>
      <c r="AR17" s="1134" t="s">
        <v>0</v>
      </c>
      <c r="AS17" s="1134"/>
    </row>
    <row r="18" spans="1:45" ht="244.5" customHeight="1" x14ac:dyDescent="0.35">
      <c r="A18" s="1132"/>
      <c r="B18" s="1132"/>
      <c r="C18" s="1132"/>
      <c r="D18" s="161" t="s">
        <v>683</v>
      </c>
      <c r="E18" s="161" t="s">
        <v>163</v>
      </c>
      <c r="F18" s="161" t="s">
        <v>683</v>
      </c>
      <c r="G18" s="161" t="s">
        <v>163</v>
      </c>
      <c r="H18" s="161" t="s">
        <v>683</v>
      </c>
      <c r="I18" s="161" t="s">
        <v>163</v>
      </c>
      <c r="J18" s="161" t="s">
        <v>683</v>
      </c>
      <c r="K18" s="161" t="s">
        <v>163</v>
      </c>
      <c r="L18" s="161" t="s">
        <v>683</v>
      </c>
      <c r="M18" s="161" t="s">
        <v>163</v>
      </c>
      <c r="N18" s="161" t="s">
        <v>683</v>
      </c>
      <c r="O18" s="161" t="s">
        <v>163</v>
      </c>
      <c r="P18" s="161" t="s">
        <v>683</v>
      </c>
      <c r="Q18" s="161" t="s">
        <v>163</v>
      </c>
      <c r="R18" s="161" t="s">
        <v>683</v>
      </c>
      <c r="S18" s="161" t="s">
        <v>163</v>
      </c>
      <c r="T18" s="161" t="s">
        <v>683</v>
      </c>
      <c r="U18" s="161" t="s">
        <v>163</v>
      </c>
      <c r="V18" s="161" t="s">
        <v>683</v>
      </c>
      <c r="W18" s="161" t="s">
        <v>163</v>
      </c>
      <c r="X18" s="161" t="s">
        <v>683</v>
      </c>
      <c r="Y18" s="161" t="s">
        <v>163</v>
      </c>
      <c r="Z18" s="161" t="s">
        <v>683</v>
      </c>
      <c r="AA18" s="161" t="s">
        <v>163</v>
      </c>
      <c r="AB18" s="161" t="s">
        <v>683</v>
      </c>
      <c r="AC18" s="161" t="s">
        <v>163</v>
      </c>
      <c r="AD18" s="161" t="s">
        <v>683</v>
      </c>
      <c r="AE18" s="161" t="s">
        <v>163</v>
      </c>
      <c r="AF18" s="161" t="s">
        <v>683</v>
      </c>
      <c r="AG18" s="161" t="s">
        <v>163</v>
      </c>
      <c r="AH18" s="161" t="s">
        <v>683</v>
      </c>
      <c r="AI18" s="161" t="s">
        <v>163</v>
      </c>
      <c r="AJ18" s="161" t="s">
        <v>683</v>
      </c>
      <c r="AK18" s="161" t="s">
        <v>163</v>
      </c>
      <c r="AL18" s="161" t="s">
        <v>683</v>
      </c>
      <c r="AM18" s="161" t="s">
        <v>163</v>
      </c>
      <c r="AN18" s="161" t="s">
        <v>683</v>
      </c>
      <c r="AO18" s="161" t="s">
        <v>163</v>
      </c>
      <c r="AP18" s="161" t="s">
        <v>683</v>
      </c>
      <c r="AQ18" s="161" t="s">
        <v>163</v>
      </c>
      <c r="AR18" s="161" t="s">
        <v>683</v>
      </c>
      <c r="AS18" s="161" t="s">
        <v>163</v>
      </c>
    </row>
    <row r="19" spans="1:45" x14ac:dyDescent="0.35">
      <c r="A19" s="298">
        <v>1</v>
      </c>
      <c r="B19" s="370">
        <v>2</v>
      </c>
      <c r="C19" s="298">
        <v>3</v>
      </c>
      <c r="D19" s="371" t="s">
        <v>107</v>
      </c>
      <c r="E19" s="371" t="s">
        <v>114</v>
      </c>
      <c r="F19" s="371" t="s">
        <v>115</v>
      </c>
      <c r="G19" s="371" t="s">
        <v>152</v>
      </c>
      <c r="H19" s="371" t="s">
        <v>173</v>
      </c>
      <c r="I19" s="371" t="s">
        <v>173</v>
      </c>
      <c r="J19" s="371" t="s">
        <v>100</v>
      </c>
      <c r="K19" s="371" t="s">
        <v>101</v>
      </c>
      <c r="L19" s="371" t="s">
        <v>116</v>
      </c>
      <c r="M19" s="371" t="s">
        <v>117</v>
      </c>
      <c r="N19" s="371" t="s">
        <v>523</v>
      </c>
      <c r="O19" s="371" t="s">
        <v>812</v>
      </c>
      <c r="P19" s="371" t="s">
        <v>103</v>
      </c>
      <c r="Q19" s="371" t="s">
        <v>104</v>
      </c>
      <c r="R19" s="371" t="s">
        <v>105</v>
      </c>
      <c r="S19" s="371" t="s">
        <v>106</v>
      </c>
      <c r="T19" s="371" t="s">
        <v>172</v>
      </c>
      <c r="U19" s="371" t="s">
        <v>172</v>
      </c>
      <c r="V19" s="371" t="s">
        <v>119</v>
      </c>
      <c r="W19" s="371" t="s">
        <v>120</v>
      </c>
      <c r="X19" s="371" t="s">
        <v>153</v>
      </c>
      <c r="Y19" s="371" t="s">
        <v>154</v>
      </c>
      <c r="Z19" s="371" t="s">
        <v>174</v>
      </c>
      <c r="AA19" s="371" t="s">
        <v>174</v>
      </c>
      <c r="AB19" s="371" t="s">
        <v>122</v>
      </c>
      <c r="AC19" s="371" t="s">
        <v>123</v>
      </c>
      <c r="AD19" s="371" t="s">
        <v>127</v>
      </c>
      <c r="AE19" s="371" t="s">
        <v>128</v>
      </c>
      <c r="AF19" s="371" t="s">
        <v>175</v>
      </c>
      <c r="AG19" s="371" t="s">
        <v>175</v>
      </c>
      <c r="AH19" s="371" t="s">
        <v>155</v>
      </c>
      <c r="AI19" s="371" t="s">
        <v>156</v>
      </c>
      <c r="AJ19" s="371" t="s">
        <v>157</v>
      </c>
      <c r="AK19" s="371" t="s">
        <v>158</v>
      </c>
      <c r="AL19" s="371" t="s">
        <v>176</v>
      </c>
      <c r="AM19" s="371" t="s">
        <v>176</v>
      </c>
      <c r="AN19" s="371" t="s">
        <v>159</v>
      </c>
      <c r="AO19" s="371" t="s">
        <v>160</v>
      </c>
      <c r="AP19" s="371" t="s">
        <v>161</v>
      </c>
      <c r="AQ19" s="371" t="s">
        <v>162</v>
      </c>
      <c r="AR19" s="371" t="s">
        <v>177</v>
      </c>
      <c r="AS19" s="371" t="s">
        <v>177</v>
      </c>
    </row>
    <row r="20" spans="1:45" s="388" customFormat="1" ht="45.75" customHeight="1" x14ac:dyDescent="0.25">
      <c r="A20" s="375" t="s">
        <v>711</v>
      </c>
      <c r="B20" s="376" t="s">
        <v>684</v>
      </c>
      <c r="C20" s="299" t="s">
        <v>621</v>
      </c>
      <c r="D20" s="299" t="s">
        <v>621</v>
      </c>
      <c r="E20" s="299" t="s">
        <v>621</v>
      </c>
      <c r="F20" s="299" t="s">
        <v>621</v>
      </c>
      <c r="G20" s="299" t="s">
        <v>621</v>
      </c>
      <c r="H20" s="299" t="str">
        <f>H29</f>
        <v>нд</v>
      </c>
      <c r="I20" s="299" t="s">
        <v>621</v>
      </c>
      <c r="J20" s="299">
        <v>6.87</v>
      </c>
      <c r="K20" s="299" t="str">
        <f>K33</f>
        <v>нд</v>
      </c>
      <c r="L20" s="299" t="str">
        <f>L33</f>
        <v>нд</v>
      </c>
      <c r="M20" s="299" t="s">
        <v>621</v>
      </c>
      <c r="N20" s="299">
        <f>N22</f>
        <v>4.8949999999999996</v>
      </c>
      <c r="O20" s="299" t="s">
        <v>621</v>
      </c>
      <c r="P20" s="299" t="s">
        <v>621</v>
      </c>
      <c r="Q20" s="299" t="s">
        <v>621</v>
      </c>
      <c r="R20" s="299" t="s">
        <v>621</v>
      </c>
      <c r="S20" s="299" t="s">
        <v>621</v>
      </c>
      <c r="T20" s="299"/>
      <c r="U20" s="299" t="s">
        <v>621</v>
      </c>
      <c r="V20" s="299" t="s">
        <v>621</v>
      </c>
      <c r="W20" s="299" t="s">
        <v>621</v>
      </c>
      <c r="X20" s="299" t="s">
        <v>621</v>
      </c>
      <c r="Y20" s="299" t="s">
        <v>621</v>
      </c>
      <c r="Z20" s="299" t="s">
        <v>621</v>
      </c>
      <c r="AA20" s="299" t="s">
        <v>621</v>
      </c>
      <c r="AB20" s="299" t="s">
        <v>621</v>
      </c>
      <c r="AC20" s="299" t="s">
        <v>621</v>
      </c>
      <c r="AD20" s="299" t="s">
        <v>621</v>
      </c>
      <c r="AE20" s="299" t="s">
        <v>621</v>
      </c>
      <c r="AF20" s="299" t="s">
        <v>621</v>
      </c>
      <c r="AG20" s="299" t="s">
        <v>621</v>
      </c>
      <c r="AH20" s="299" t="s">
        <v>621</v>
      </c>
      <c r="AI20" s="299" t="s">
        <v>621</v>
      </c>
      <c r="AJ20" s="299" t="s">
        <v>621</v>
      </c>
      <c r="AK20" s="299" t="s">
        <v>621</v>
      </c>
      <c r="AL20" s="299" t="s">
        <v>621</v>
      </c>
      <c r="AM20" s="299" t="s">
        <v>621</v>
      </c>
      <c r="AN20" s="299" t="s">
        <v>621</v>
      </c>
      <c r="AO20" s="299" t="s">
        <v>621</v>
      </c>
      <c r="AP20" s="299" t="s">
        <v>621</v>
      </c>
      <c r="AQ20" s="299" t="s">
        <v>621</v>
      </c>
      <c r="AR20" s="299" t="s">
        <v>621</v>
      </c>
      <c r="AS20" s="299" t="s">
        <v>621</v>
      </c>
    </row>
    <row r="21" spans="1:45" s="388" customFormat="1" ht="26.25" hidden="1" x14ac:dyDescent="0.25">
      <c r="A21" s="378" t="s">
        <v>712</v>
      </c>
      <c r="B21" s="379" t="s">
        <v>685</v>
      </c>
      <c r="C21" s="348" t="s">
        <v>621</v>
      </c>
      <c r="D21" s="348" t="s">
        <v>621</v>
      </c>
      <c r="E21" s="348" t="s">
        <v>621</v>
      </c>
      <c r="F21" s="348" t="s">
        <v>621</v>
      </c>
      <c r="G21" s="348" t="s">
        <v>621</v>
      </c>
      <c r="H21" s="348" t="s">
        <v>621</v>
      </c>
      <c r="I21" s="348" t="s">
        <v>621</v>
      </c>
      <c r="J21" s="348">
        <v>6.87</v>
      </c>
      <c r="K21" s="348" t="s">
        <v>621</v>
      </c>
      <c r="L21" s="348" t="s">
        <v>621</v>
      </c>
      <c r="M21" s="348" t="s">
        <v>621</v>
      </c>
      <c r="N21" s="348">
        <v>7.2039999999999997</v>
      </c>
      <c r="O21" s="348" t="s">
        <v>621</v>
      </c>
      <c r="P21" s="348" t="s">
        <v>621</v>
      </c>
      <c r="Q21" s="348" t="s">
        <v>621</v>
      </c>
      <c r="R21" s="348" t="s">
        <v>621</v>
      </c>
      <c r="S21" s="348" t="s">
        <v>621</v>
      </c>
      <c r="T21" s="348" t="s">
        <v>621</v>
      </c>
      <c r="U21" s="348" t="s">
        <v>621</v>
      </c>
      <c r="V21" s="348" t="s">
        <v>621</v>
      </c>
      <c r="W21" s="348" t="s">
        <v>621</v>
      </c>
      <c r="X21" s="348" t="s">
        <v>621</v>
      </c>
      <c r="Y21" s="348" t="s">
        <v>621</v>
      </c>
      <c r="Z21" s="348" t="s">
        <v>621</v>
      </c>
      <c r="AA21" s="348" t="s">
        <v>621</v>
      </c>
      <c r="AB21" s="348" t="s">
        <v>621</v>
      </c>
      <c r="AC21" s="348" t="s">
        <v>621</v>
      </c>
      <c r="AD21" s="348" t="s">
        <v>621</v>
      </c>
      <c r="AE21" s="348" t="s">
        <v>621</v>
      </c>
      <c r="AF21" s="348" t="s">
        <v>621</v>
      </c>
      <c r="AG21" s="348" t="s">
        <v>621</v>
      </c>
      <c r="AH21" s="348" t="s">
        <v>621</v>
      </c>
      <c r="AI21" s="348" t="s">
        <v>621</v>
      </c>
      <c r="AJ21" s="348" t="s">
        <v>621</v>
      </c>
      <c r="AK21" s="348" t="s">
        <v>621</v>
      </c>
      <c r="AL21" s="348" t="s">
        <v>621</v>
      </c>
      <c r="AM21" s="348" t="s">
        <v>621</v>
      </c>
      <c r="AN21" s="348" t="s">
        <v>621</v>
      </c>
      <c r="AO21" s="348" t="s">
        <v>621</v>
      </c>
      <c r="AP21" s="348" t="s">
        <v>621</v>
      </c>
      <c r="AQ21" s="348" t="s">
        <v>621</v>
      </c>
      <c r="AR21" s="348" t="s">
        <v>621</v>
      </c>
      <c r="AS21" s="348" t="s">
        <v>621</v>
      </c>
    </row>
    <row r="22" spans="1:45" s="388" customFormat="1" ht="51" customHeight="1" x14ac:dyDescent="0.25">
      <c r="A22" s="378" t="s">
        <v>713</v>
      </c>
      <c r="B22" s="379" t="s">
        <v>686</v>
      </c>
      <c r="C22" s="348" t="s">
        <v>621</v>
      </c>
      <c r="D22" s="348" t="s">
        <v>621</v>
      </c>
      <c r="E22" s="348" t="s">
        <v>621</v>
      </c>
      <c r="F22" s="348" t="s">
        <v>621</v>
      </c>
      <c r="G22" s="348" t="s">
        <v>621</v>
      </c>
      <c r="H22" s="348" t="s">
        <v>621</v>
      </c>
      <c r="I22" s="348" t="s">
        <v>621</v>
      </c>
      <c r="J22" s="348">
        <v>6.87</v>
      </c>
      <c r="K22" s="348" t="s">
        <v>621</v>
      </c>
      <c r="L22" s="348" t="s">
        <v>621</v>
      </c>
      <c r="M22" s="348" t="s">
        <v>621</v>
      </c>
      <c r="N22" s="348">
        <f>N28</f>
        <v>4.8949999999999996</v>
      </c>
      <c r="O22" s="348" t="s">
        <v>621</v>
      </c>
      <c r="P22" s="348" t="s">
        <v>621</v>
      </c>
      <c r="Q22" s="348" t="s">
        <v>621</v>
      </c>
      <c r="R22" s="348" t="s">
        <v>621</v>
      </c>
      <c r="S22" s="348" t="s">
        <v>621</v>
      </c>
      <c r="T22" s="348" t="s">
        <v>621</v>
      </c>
      <c r="U22" s="348" t="s">
        <v>621</v>
      </c>
      <c r="V22" s="348" t="s">
        <v>621</v>
      </c>
      <c r="W22" s="348" t="s">
        <v>621</v>
      </c>
      <c r="X22" s="348" t="s">
        <v>621</v>
      </c>
      <c r="Y22" s="348" t="s">
        <v>621</v>
      </c>
      <c r="Z22" s="348" t="s">
        <v>621</v>
      </c>
      <c r="AA22" s="348" t="s">
        <v>621</v>
      </c>
      <c r="AB22" s="348" t="s">
        <v>621</v>
      </c>
      <c r="AC22" s="348" t="s">
        <v>621</v>
      </c>
      <c r="AD22" s="348" t="s">
        <v>621</v>
      </c>
      <c r="AE22" s="348" t="s">
        <v>621</v>
      </c>
      <c r="AF22" s="348" t="s">
        <v>621</v>
      </c>
      <c r="AG22" s="348" t="s">
        <v>621</v>
      </c>
      <c r="AH22" s="348" t="s">
        <v>621</v>
      </c>
      <c r="AI22" s="348" t="s">
        <v>621</v>
      </c>
      <c r="AJ22" s="348" t="s">
        <v>621</v>
      </c>
      <c r="AK22" s="348" t="s">
        <v>621</v>
      </c>
      <c r="AL22" s="348" t="s">
        <v>621</v>
      </c>
      <c r="AM22" s="348" t="s">
        <v>621</v>
      </c>
      <c r="AN22" s="348" t="s">
        <v>621</v>
      </c>
      <c r="AO22" s="348" t="s">
        <v>621</v>
      </c>
      <c r="AP22" s="348" t="s">
        <v>621</v>
      </c>
      <c r="AQ22" s="348" t="s">
        <v>621</v>
      </c>
      <c r="AR22" s="348" t="s">
        <v>621</v>
      </c>
      <c r="AS22" s="348" t="s">
        <v>621</v>
      </c>
    </row>
    <row r="23" spans="1:45" s="388" customFormat="1" ht="102" hidden="1" x14ac:dyDescent="0.25">
      <c r="A23" s="378" t="s">
        <v>714</v>
      </c>
      <c r="B23" s="379" t="s">
        <v>687</v>
      </c>
      <c r="C23" s="348" t="s">
        <v>621</v>
      </c>
      <c r="D23" s="348" t="s">
        <v>621</v>
      </c>
      <c r="E23" s="348" t="s">
        <v>621</v>
      </c>
      <c r="F23" s="348" t="s">
        <v>621</v>
      </c>
      <c r="G23" s="348" t="s">
        <v>621</v>
      </c>
      <c r="H23" s="348" t="s">
        <v>621</v>
      </c>
      <c r="I23" s="348" t="s">
        <v>621</v>
      </c>
      <c r="J23" s="348" t="s">
        <v>621</v>
      </c>
      <c r="K23" s="348" t="s">
        <v>621</v>
      </c>
      <c r="L23" s="348" t="s">
        <v>621</v>
      </c>
      <c r="M23" s="348" t="s">
        <v>621</v>
      </c>
      <c r="N23" s="348">
        <v>7.2039999999999997</v>
      </c>
      <c r="O23" s="348" t="s">
        <v>621</v>
      </c>
      <c r="P23" s="348" t="s">
        <v>621</v>
      </c>
      <c r="Q23" s="348" t="s">
        <v>621</v>
      </c>
      <c r="R23" s="348" t="s">
        <v>621</v>
      </c>
      <c r="S23" s="348" t="s">
        <v>621</v>
      </c>
      <c r="T23" s="348" t="s">
        <v>621</v>
      </c>
      <c r="U23" s="348" t="s">
        <v>621</v>
      </c>
      <c r="V23" s="348" t="s">
        <v>621</v>
      </c>
      <c r="W23" s="348" t="s">
        <v>621</v>
      </c>
      <c r="X23" s="348" t="s">
        <v>621</v>
      </c>
      <c r="Y23" s="348" t="s">
        <v>621</v>
      </c>
      <c r="Z23" s="348" t="s">
        <v>621</v>
      </c>
      <c r="AA23" s="348" t="s">
        <v>621</v>
      </c>
      <c r="AB23" s="348" t="s">
        <v>621</v>
      </c>
      <c r="AC23" s="348" t="s">
        <v>621</v>
      </c>
      <c r="AD23" s="348" t="s">
        <v>621</v>
      </c>
      <c r="AE23" s="348" t="s">
        <v>621</v>
      </c>
      <c r="AF23" s="348" t="s">
        <v>621</v>
      </c>
      <c r="AG23" s="348" t="s">
        <v>621</v>
      </c>
      <c r="AH23" s="348" t="s">
        <v>621</v>
      </c>
      <c r="AI23" s="348" t="s">
        <v>621</v>
      </c>
      <c r="AJ23" s="348" t="s">
        <v>621</v>
      </c>
      <c r="AK23" s="348" t="s">
        <v>621</v>
      </c>
      <c r="AL23" s="348" t="s">
        <v>621</v>
      </c>
      <c r="AM23" s="348" t="s">
        <v>621</v>
      </c>
      <c r="AN23" s="348" t="s">
        <v>621</v>
      </c>
      <c r="AO23" s="348" t="s">
        <v>621</v>
      </c>
      <c r="AP23" s="348" t="s">
        <v>621</v>
      </c>
      <c r="AQ23" s="348" t="s">
        <v>621</v>
      </c>
      <c r="AR23" s="348" t="s">
        <v>621</v>
      </c>
      <c r="AS23" s="348" t="s">
        <v>621</v>
      </c>
    </row>
    <row r="24" spans="1:45" s="388" customFormat="1" ht="51" hidden="1" x14ac:dyDescent="0.25">
      <c r="A24" s="378" t="s">
        <v>715</v>
      </c>
      <c r="B24" s="379" t="s">
        <v>688</v>
      </c>
      <c r="C24" s="348" t="s">
        <v>621</v>
      </c>
      <c r="D24" s="348" t="s">
        <v>621</v>
      </c>
      <c r="E24" s="348" t="s">
        <v>621</v>
      </c>
      <c r="F24" s="348" t="s">
        <v>621</v>
      </c>
      <c r="G24" s="348" t="s">
        <v>621</v>
      </c>
      <c r="H24" s="348" t="s">
        <v>621</v>
      </c>
      <c r="I24" s="348" t="s">
        <v>621</v>
      </c>
      <c r="J24" s="348" t="s">
        <v>621</v>
      </c>
      <c r="K24" s="348" t="s">
        <v>621</v>
      </c>
      <c r="L24" s="348" t="s">
        <v>621</v>
      </c>
      <c r="M24" s="348" t="s">
        <v>621</v>
      </c>
      <c r="N24" s="348">
        <v>7.2039999999999997</v>
      </c>
      <c r="O24" s="348" t="s">
        <v>621</v>
      </c>
      <c r="P24" s="348" t="s">
        <v>621</v>
      </c>
      <c r="Q24" s="348" t="s">
        <v>621</v>
      </c>
      <c r="R24" s="348" t="s">
        <v>621</v>
      </c>
      <c r="S24" s="348" t="s">
        <v>621</v>
      </c>
      <c r="T24" s="348" t="s">
        <v>621</v>
      </c>
      <c r="U24" s="348" t="s">
        <v>621</v>
      </c>
      <c r="V24" s="348" t="s">
        <v>621</v>
      </c>
      <c r="W24" s="348" t="s">
        <v>621</v>
      </c>
      <c r="X24" s="348" t="s">
        <v>621</v>
      </c>
      <c r="Y24" s="348" t="s">
        <v>621</v>
      </c>
      <c r="Z24" s="348" t="s">
        <v>621</v>
      </c>
      <c r="AA24" s="348" t="s">
        <v>621</v>
      </c>
      <c r="AB24" s="348" t="s">
        <v>621</v>
      </c>
      <c r="AC24" s="348" t="s">
        <v>621</v>
      </c>
      <c r="AD24" s="348" t="s">
        <v>621</v>
      </c>
      <c r="AE24" s="348" t="s">
        <v>621</v>
      </c>
      <c r="AF24" s="348" t="s">
        <v>621</v>
      </c>
      <c r="AG24" s="348" t="s">
        <v>621</v>
      </c>
      <c r="AH24" s="348" t="s">
        <v>621</v>
      </c>
      <c r="AI24" s="348" t="s">
        <v>621</v>
      </c>
      <c r="AJ24" s="348" t="s">
        <v>621</v>
      </c>
      <c r="AK24" s="348" t="s">
        <v>621</v>
      </c>
      <c r="AL24" s="348" t="s">
        <v>621</v>
      </c>
      <c r="AM24" s="348" t="s">
        <v>621</v>
      </c>
      <c r="AN24" s="348" t="s">
        <v>621</v>
      </c>
      <c r="AO24" s="348" t="s">
        <v>621</v>
      </c>
      <c r="AP24" s="348" t="s">
        <v>621</v>
      </c>
      <c r="AQ24" s="348" t="s">
        <v>621</v>
      </c>
      <c r="AR24" s="348" t="s">
        <v>621</v>
      </c>
      <c r="AS24" s="348" t="s">
        <v>621</v>
      </c>
    </row>
    <row r="25" spans="1:45" s="388" customFormat="1" ht="51" hidden="1" x14ac:dyDescent="0.25">
      <c r="A25" s="378" t="s">
        <v>716</v>
      </c>
      <c r="B25" s="379" t="s">
        <v>689</v>
      </c>
      <c r="C25" s="348" t="s">
        <v>621</v>
      </c>
      <c r="D25" s="348" t="s">
        <v>621</v>
      </c>
      <c r="E25" s="348" t="s">
        <v>621</v>
      </c>
      <c r="F25" s="348" t="s">
        <v>621</v>
      </c>
      <c r="G25" s="348" t="s">
        <v>621</v>
      </c>
      <c r="H25" s="348" t="s">
        <v>621</v>
      </c>
      <c r="I25" s="348" t="s">
        <v>621</v>
      </c>
      <c r="J25" s="348" t="s">
        <v>621</v>
      </c>
      <c r="K25" s="348" t="s">
        <v>621</v>
      </c>
      <c r="L25" s="348" t="s">
        <v>621</v>
      </c>
      <c r="M25" s="348" t="s">
        <v>621</v>
      </c>
      <c r="N25" s="348">
        <v>7.2039999999999997</v>
      </c>
      <c r="O25" s="348" t="s">
        <v>621</v>
      </c>
      <c r="P25" s="348" t="s">
        <v>621</v>
      </c>
      <c r="Q25" s="348" t="s">
        <v>621</v>
      </c>
      <c r="R25" s="348" t="s">
        <v>621</v>
      </c>
      <c r="S25" s="348" t="s">
        <v>621</v>
      </c>
      <c r="T25" s="348" t="s">
        <v>621</v>
      </c>
      <c r="U25" s="348" t="s">
        <v>621</v>
      </c>
      <c r="V25" s="348" t="s">
        <v>621</v>
      </c>
      <c r="W25" s="348" t="s">
        <v>621</v>
      </c>
      <c r="X25" s="348" t="s">
        <v>621</v>
      </c>
      <c r="Y25" s="348" t="s">
        <v>621</v>
      </c>
      <c r="Z25" s="348" t="s">
        <v>621</v>
      </c>
      <c r="AA25" s="348" t="s">
        <v>621</v>
      </c>
      <c r="AB25" s="348" t="s">
        <v>621</v>
      </c>
      <c r="AC25" s="348" t="s">
        <v>621</v>
      </c>
      <c r="AD25" s="348" t="s">
        <v>621</v>
      </c>
      <c r="AE25" s="348" t="s">
        <v>621</v>
      </c>
      <c r="AF25" s="348" t="s">
        <v>621</v>
      </c>
      <c r="AG25" s="348" t="s">
        <v>621</v>
      </c>
      <c r="AH25" s="348" t="s">
        <v>621</v>
      </c>
      <c r="AI25" s="348" t="s">
        <v>621</v>
      </c>
      <c r="AJ25" s="348" t="s">
        <v>621</v>
      </c>
      <c r="AK25" s="348" t="s">
        <v>621</v>
      </c>
      <c r="AL25" s="348" t="s">
        <v>621</v>
      </c>
      <c r="AM25" s="348" t="s">
        <v>621</v>
      </c>
      <c r="AN25" s="348" t="s">
        <v>621</v>
      </c>
      <c r="AO25" s="348" t="s">
        <v>621</v>
      </c>
      <c r="AP25" s="348" t="s">
        <v>621</v>
      </c>
      <c r="AQ25" s="348" t="s">
        <v>621</v>
      </c>
      <c r="AR25" s="348" t="s">
        <v>621</v>
      </c>
      <c r="AS25" s="348" t="s">
        <v>621</v>
      </c>
    </row>
    <row r="26" spans="1:45" s="388" customFormat="1" ht="26.25" hidden="1" x14ac:dyDescent="0.25">
      <c r="A26" s="378" t="s">
        <v>717</v>
      </c>
      <c r="B26" s="379" t="s">
        <v>690</v>
      </c>
      <c r="C26" s="348" t="s">
        <v>621</v>
      </c>
      <c r="D26" s="348" t="s">
        <v>621</v>
      </c>
      <c r="E26" s="348" t="s">
        <v>621</v>
      </c>
      <c r="F26" s="348" t="s">
        <v>621</v>
      </c>
      <c r="G26" s="348" t="s">
        <v>621</v>
      </c>
      <c r="H26" s="348" t="s">
        <v>621</v>
      </c>
      <c r="I26" s="348" t="s">
        <v>621</v>
      </c>
      <c r="J26" s="348" t="s">
        <v>621</v>
      </c>
      <c r="K26" s="348" t="s">
        <v>621</v>
      </c>
      <c r="L26" s="348" t="s">
        <v>621</v>
      </c>
      <c r="M26" s="348" t="s">
        <v>621</v>
      </c>
      <c r="N26" s="348">
        <v>7.2039999999999997</v>
      </c>
      <c r="O26" s="348" t="s">
        <v>621</v>
      </c>
      <c r="P26" s="348" t="s">
        <v>621</v>
      </c>
      <c r="Q26" s="348" t="s">
        <v>621</v>
      </c>
      <c r="R26" s="348" t="s">
        <v>621</v>
      </c>
      <c r="S26" s="348" t="s">
        <v>621</v>
      </c>
      <c r="T26" s="348" t="s">
        <v>621</v>
      </c>
      <c r="U26" s="348" t="s">
        <v>621</v>
      </c>
      <c r="V26" s="348" t="s">
        <v>621</v>
      </c>
      <c r="W26" s="348" t="s">
        <v>621</v>
      </c>
      <c r="X26" s="348" t="s">
        <v>621</v>
      </c>
      <c r="Y26" s="348" t="s">
        <v>621</v>
      </c>
      <c r="Z26" s="348" t="s">
        <v>621</v>
      </c>
      <c r="AA26" s="348" t="s">
        <v>621</v>
      </c>
      <c r="AB26" s="348" t="s">
        <v>621</v>
      </c>
      <c r="AC26" s="348" t="s">
        <v>621</v>
      </c>
      <c r="AD26" s="348" t="s">
        <v>621</v>
      </c>
      <c r="AE26" s="348" t="s">
        <v>621</v>
      </c>
      <c r="AF26" s="348" t="s">
        <v>621</v>
      </c>
      <c r="AG26" s="348" t="s">
        <v>621</v>
      </c>
      <c r="AH26" s="348" t="s">
        <v>621</v>
      </c>
      <c r="AI26" s="348" t="s">
        <v>621</v>
      </c>
      <c r="AJ26" s="348" t="s">
        <v>621</v>
      </c>
      <c r="AK26" s="348" t="s">
        <v>621</v>
      </c>
      <c r="AL26" s="348" t="s">
        <v>621</v>
      </c>
      <c r="AM26" s="348" t="s">
        <v>621</v>
      </c>
      <c r="AN26" s="348" t="s">
        <v>621</v>
      </c>
      <c r="AO26" s="348" t="s">
        <v>621</v>
      </c>
      <c r="AP26" s="348" t="s">
        <v>621</v>
      </c>
      <c r="AQ26" s="348" t="s">
        <v>621</v>
      </c>
      <c r="AR26" s="348" t="s">
        <v>621</v>
      </c>
      <c r="AS26" s="348" t="s">
        <v>621</v>
      </c>
    </row>
    <row r="27" spans="1:45" s="388" customFormat="1" ht="26.25" hidden="1" x14ac:dyDescent="0.25">
      <c r="A27" s="380"/>
      <c r="B27" s="381"/>
      <c r="C27" s="348" t="s">
        <v>621</v>
      </c>
      <c r="D27" s="348" t="s">
        <v>621</v>
      </c>
      <c r="E27" s="348" t="s">
        <v>621</v>
      </c>
      <c r="F27" s="348" t="s">
        <v>621</v>
      </c>
      <c r="G27" s="348" t="s">
        <v>621</v>
      </c>
      <c r="H27" s="348" t="s">
        <v>621</v>
      </c>
      <c r="I27" s="348" t="s">
        <v>621</v>
      </c>
      <c r="J27" s="348" t="s">
        <v>621</v>
      </c>
      <c r="K27" s="348" t="s">
        <v>621</v>
      </c>
      <c r="L27" s="348" t="s">
        <v>621</v>
      </c>
      <c r="M27" s="348" t="s">
        <v>621</v>
      </c>
      <c r="N27" s="348">
        <v>7.2039999999999997</v>
      </c>
      <c r="O27" s="348" t="s">
        <v>621</v>
      </c>
      <c r="P27" s="348" t="s">
        <v>621</v>
      </c>
      <c r="Q27" s="348" t="s">
        <v>621</v>
      </c>
      <c r="R27" s="348" t="s">
        <v>621</v>
      </c>
      <c r="S27" s="348" t="s">
        <v>621</v>
      </c>
      <c r="T27" s="348" t="s">
        <v>621</v>
      </c>
      <c r="U27" s="348" t="s">
        <v>621</v>
      </c>
      <c r="V27" s="348" t="s">
        <v>621</v>
      </c>
      <c r="W27" s="348" t="s">
        <v>621</v>
      </c>
      <c r="X27" s="348" t="s">
        <v>621</v>
      </c>
      <c r="Y27" s="348" t="s">
        <v>621</v>
      </c>
      <c r="Z27" s="348" t="s">
        <v>621</v>
      </c>
      <c r="AA27" s="348" t="s">
        <v>621</v>
      </c>
      <c r="AB27" s="348" t="s">
        <v>621</v>
      </c>
      <c r="AC27" s="348" t="s">
        <v>621</v>
      </c>
      <c r="AD27" s="348" t="s">
        <v>621</v>
      </c>
      <c r="AE27" s="348" t="s">
        <v>621</v>
      </c>
      <c r="AF27" s="348" t="s">
        <v>621</v>
      </c>
      <c r="AG27" s="348" t="s">
        <v>621</v>
      </c>
      <c r="AH27" s="348" t="s">
        <v>621</v>
      </c>
      <c r="AI27" s="348" t="s">
        <v>621</v>
      </c>
      <c r="AJ27" s="348" t="s">
        <v>621</v>
      </c>
      <c r="AK27" s="348" t="s">
        <v>621</v>
      </c>
      <c r="AL27" s="348" t="s">
        <v>621</v>
      </c>
      <c r="AM27" s="348" t="s">
        <v>621</v>
      </c>
      <c r="AN27" s="348" t="s">
        <v>621</v>
      </c>
      <c r="AO27" s="348" t="s">
        <v>621</v>
      </c>
      <c r="AP27" s="348" t="s">
        <v>621</v>
      </c>
      <c r="AQ27" s="348" t="s">
        <v>621</v>
      </c>
      <c r="AR27" s="348" t="s">
        <v>621</v>
      </c>
      <c r="AS27" s="348" t="s">
        <v>621</v>
      </c>
    </row>
    <row r="28" spans="1:45" s="388" customFormat="1" ht="26.25" customHeight="1" x14ac:dyDescent="0.25">
      <c r="A28" s="380" t="s">
        <v>537</v>
      </c>
      <c r="B28" s="381" t="s">
        <v>691</v>
      </c>
      <c r="C28" s="348" t="s">
        <v>621</v>
      </c>
      <c r="D28" s="348" t="s">
        <v>621</v>
      </c>
      <c r="E28" s="348" t="s">
        <v>621</v>
      </c>
      <c r="F28" s="348" t="s">
        <v>621</v>
      </c>
      <c r="G28" s="348" t="s">
        <v>621</v>
      </c>
      <c r="H28" s="348" t="s">
        <v>621</v>
      </c>
      <c r="I28" s="348" t="s">
        <v>621</v>
      </c>
      <c r="J28" s="348">
        <v>6.87</v>
      </c>
      <c r="K28" s="348" t="s">
        <v>621</v>
      </c>
      <c r="L28" s="348" t="s">
        <v>621</v>
      </c>
      <c r="M28" s="348" t="s">
        <v>621</v>
      </c>
      <c r="N28" s="348">
        <f>N45</f>
        <v>4.8949999999999996</v>
      </c>
      <c r="O28" s="348" t="s">
        <v>621</v>
      </c>
      <c r="P28" s="348" t="s">
        <v>621</v>
      </c>
      <c r="Q28" s="348" t="s">
        <v>621</v>
      </c>
      <c r="R28" s="348" t="s">
        <v>621</v>
      </c>
      <c r="S28" s="348" t="s">
        <v>621</v>
      </c>
      <c r="T28" s="348" t="s">
        <v>621</v>
      </c>
      <c r="U28" s="348" t="s">
        <v>621</v>
      </c>
      <c r="V28" s="348" t="s">
        <v>621</v>
      </c>
      <c r="W28" s="348" t="s">
        <v>621</v>
      </c>
      <c r="X28" s="348" t="s">
        <v>621</v>
      </c>
      <c r="Y28" s="348" t="s">
        <v>621</v>
      </c>
      <c r="Z28" s="348" t="s">
        <v>621</v>
      </c>
      <c r="AA28" s="348" t="s">
        <v>621</v>
      </c>
      <c r="AB28" s="348" t="s">
        <v>621</v>
      </c>
      <c r="AC28" s="348" t="s">
        <v>621</v>
      </c>
      <c r="AD28" s="348" t="s">
        <v>621</v>
      </c>
      <c r="AE28" s="348" t="s">
        <v>621</v>
      </c>
      <c r="AF28" s="348" t="s">
        <v>621</v>
      </c>
      <c r="AG28" s="348" t="s">
        <v>621</v>
      </c>
      <c r="AH28" s="348" t="s">
        <v>621</v>
      </c>
      <c r="AI28" s="348" t="s">
        <v>621</v>
      </c>
      <c r="AJ28" s="348" t="s">
        <v>621</v>
      </c>
      <c r="AK28" s="348" t="s">
        <v>621</v>
      </c>
      <c r="AL28" s="348" t="s">
        <v>621</v>
      </c>
      <c r="AM28" s="348" t="s">
        <v>621</v>
      </c>
      <c r="AN28" s="348" t="s">
        <v>621</v>
      </c>
      <c r="AO28" s="348" t="s">
        <v>621</v>
      </c>
      <c r="AP28" s="348" t="s">
        <v>621</v>
      </c>
      <c r="AQ28" s="348" t="s">
        <v>621</v>
      </c>
      <c r="AR28" s="348" t="s">
        <v>621</v>
      </c>
      <c r="AS28" s="348" t="s">
        <v>621</v>
      </c>
    </row>
    <row r="29" spans="1:45" s="388" customFormat="1" ht="51" hidden="1" x14ac:dyDescent="0.25">
      <c r="A29" s="378" t="s">
        <v>538</v>
      </c>
      <c r="B29" s="379" t="s">
        <v>692</v>
      </c>
      <c r="C29" s="348" t="s">
        <v>621</v>
      </c>
      <c r="D29" s="348" t="s">
        <v>621</v>
      </c>
      <c r="E29" s="348" t="s">
        <v>621</v>
      </c>
      <c r="F29" s="348" t="s">
        <v>621</v>
      </c>
      <c r="G29" s="348" t="s">
        <v>621</v>
      </c>
      <c r="H29" s="348" t="s">
        <v>621</v>
      </c>
      <c r="I29" s="348" t="s">
        <v>621</v>
      </c>
      <c r="J29" s="348" t="s">
        <v>621</v>
      </c>
      <c r="K29" s="348" t="s">
        <v>621</v>
      </c>
      <c r="L29" s="348" t="s">
        <v>621</v>
      </c>
      <c r="M29" s="348" t="s">
        <v>621</v>
      </c>
      <c r="N29" s="348">
        <v>7.2039999999999997</v>
      </c>
      <c r="O29" s="348" t="s">
        <v>621</v>
      </c>
      <c r="P29" s="348" t="s">
        <v>621</v>
      </c>
      <c r="Q29" s="348" t="s">
        <v>621</v>
      </c>
      <c r="R29" s="348" t="s">
        <v>621</v>
      </c>
      <c r="S29" s="348" t="s">
        <v>621</v>
      </c>
      <c r="T29" s="348" t="s">
        <v>621</v>
      </c>
      <c r="U29" s="348" t="s">
        <v>621</v>
      </c>
      <c r="V29" s="348" t="s">
        <v>621</v>
      </c>
      <c r="W29" s="348" t="s">
        <v>621</v>
      </c>
      <c r="X29" s="348" t="s">
        <v>621</v>
      </c>
      <c r="Y29" s="348" t="s">
        <v>621</v>
      </c>
      <c r="Z29" s="348" t="s">
        <v>621</v>
      </c>
      <c r="AA29" s="348" t="s">
        <v>621</v>
      </c>
      <c r="AB29" s="348" t="s">
        <v>621</v>
      </c>
      <c r="AC29" s="348" t="s">
        <v>621</v>
      </c>
      <c r="AD29" s="348" t="s">
        <v>621</v>
      </c>
      <c r="AE29" s="348" t="s">
        <v>621</v>
      </c>
      <c r="AF29" s="348" t="s">
        <v>621</v>
      </c>
      <c r="AG29" s="348" t="s">
        <v>621</v>
      </c>
      <c r="AH29" s="348" t="s">
        <v>621</v>
      </c>
      <c r="AI29" s="348" t="s">
        <v>621</v>
      </c>
      <c r="AJ29" s="348" t="s">
        <v>621</v>
      </c>
      <c r="AK29" s="348" t="s">
        <v>621</v>
      </c>
      <c r="AL29" s="348" t="s">
        <v>621</v>
      </c>
      <c r="AM29" s="348" t="s">
        <v>621</v>
      </c>
      <c r="AN29" s="348" t="s">
        <v>621</v>
      </c>
      <c r="AO29" s="348" t="s">
        <v>621</v>
      </c>
      <c r="AP29" s="348" t="s">
        <v>621</v>
      </c>
      <c r="AQ29" s="348" t="s">
        <v>621</v>
      </c>
      <c r="AR29" s="348" t="s">
        <v>621</v>
      </c>
      <c r="AS29" s="348" t="s">
        <v>621</v>
      </c>
    </row>
    <row r="30" spans="1:45" s="388" customFormat="1" ht="78.75" hidden="1" x14ac:dyDescent="0.25">
      <c r="A30" s="380" t="s">
        <v>540</v>
      </c>
      <c r="B30" s="381" t="s">
        <v>725</v>
      </c>
      <c r="C30" s="348" t="s">
        <v>621</v>
      </c>
      <c r="D30" s="348" t="s">
        <v>621</v>
      </c>
      <c r="E30" s="348" t="s">
        <v>621</v>
      </c>
      <c r="F30" s="348" t="s">
        <v>621</v>
      </c>
      <c r="G30" s="348" t="s">
        <v>621</v>
      </c>
      <c r="H30" s="348" t="s">
        <v>621</v>
      </c>
      <c r="I30" s="348" t="s">
        <v>621</v>
      </c>
      <c r="J30" s="348" t="s">
        <v>621</v>
      </c>
      <c r="K30" s="348" t="s">
        <v>621</v>
      </c>
      <c r="L30" s="348" t="s">
        <v>621</v>
      </c>
      <c r="M30" s="348" t="s">
        <v>621</v>
      </c>
      <c r="N30" s="348">
        <v>7.2039999999999997</v>
      </c>
      <c r="O30" s="348" t="s">
        <v>621</v>
      </c>
      <c r="P30" s="348" t="s">
        <v>621</v>
      </c>
      <c r="Q30" s="348" t="s">
        <v>621</v>
      </c>
      <c r="R30" s="348" t="s">
        <v>621</v>
      </c>
      <c r="S30" s="348" t="s">
        <v>621</v>
      </c>
      <c r="T30" s="348" t="s">
        <v>621</v>
      </c>
      <c r="U30" s="348" t="s">
        <v>621</v>
      </c>
      <c r="V30" s="348" t="s">
        <v>621</v>
      </c>
      <c r="W30" s="348" t="s">
        <v>621</v>
      </c>
      <c r="X30" s="348" t="s">
        <v>621</v>
      </c>
      <c r="Y30" s="348" t="s">
        <v>621</v>
      </c>
      <c r="Z30" s="348" t="s">
        <v>621</v>
      </c>
      <c r="AA30" s="348" t="s">
        <v>621</v>
      </c>
      <c r="AB30" s="348" t="s">
        <v>621</v>
      </c>
      <c r="AC30" s="348" t="s">
        <v>621</v>
      </c>
      <c r="AD30" s="348" t="s">
        <v>621</v>
      </c>
      <c r="AE30" s="348" t="s">
        <v>621</v>
      </c>
      <c r="AF30" s="348" t="s">
        <v>621</v>
      </c>
      <c r="AG30" s="348" t="s">
        <v>621</v>
      </c>
      <c r="AH30" s="348" t="s">
        <v>621</v>
      </c>
      <c r="AI30" s="348" t="s">
        <v>621</v>
      </c>
      <c r="AJ30" s="348" t="s">
        <v>621</v>
      </c>
      <c r="AK30" s="348" t="s">
        <v>621</v>
      </c>
      <c r="AL30" s="348" t="s">
        <v>621</v>
      </c>
      <c r="AM30" s="348" t="s">
        <v>621</v>
      </c>
      <c r="AN30" s="348" t="s">
        <v>621</v>
      </c>
      <c r="AO30" s="348" t="s">
        <v>621</v>
      </c>
      <c r="AP30" s="348" t="s">
        <v>621</v>
      </c>
      <c r="AQ30" s="348" t="s">
        <v>621</v>
      </c>
      <c r="AR30" s="348" t="s">
        <v>621</v>
      </c>
      <c r="AS30" s="348" t="s">
        <v>621</v>
      </c>
    </row>
    <row r="31" spans="1:45" s="388" customFormat="1" ht="105" hidden="1" x14ac:dyDescent="0.25">
      <c r="A31" s="380" t="s">
        <v>568</v>
      </c>
      <c r="B31" s="381" t="s">
        <v>726</v>
      </c>
      <c r="C31" s="348" t="s">
        <v>621</v>
      </c>
      <c r="D31" s="348" t="s">
        <v>621</v>
      </c>
      <c r="E31" s="348" t="s">
        <v>621</v>
      </c>
      <c r="F31" s="348" t="s">
        <v>621</v>
      </c>
      <c r="G31" s="348" t="s">
        <v>621</v>
      </c>
      <c r="H31" s="348" t="s">
        <v>621</v>
      </c>
      <c r="I31" s="348" t="s">
        <v>621</v>
      </c>
      <c r="J31" s="348" t="s">
        <v>621</v>
      </c>
      <c r="K31" s="348" t="s">
        <v>621</v>
      </c>
      <c r="L31" s="348" t="s">
        <v>621</v>
      </c>
      <c r="M31" s="348" t="s">
        <v>621</v>
      </c>
      <c r="N31" s="348">
        <v>7.2039999999999997</v>
      </c>
      <c r="O31" s="348" t="s">
        <v>621</v>
      </c>
      <c r="P31" s="348" t="s">
        <v>621</v>
      </c>
      <c r="Q31" s="348" t="s">
        <v>621</v>
      </c>
      <c r="R31" s="348" t="s">
        <v>621</v>
      </c>
      <c r="S31" s="348" t="s">
        <v>621</v>
      </c>
      <c r="T31" s="348" t="s">
        <v>621</v>
      </c>
      <c r="U31" s="348" t="s">
        <v>621</v>
      </c>
      <c r="V31" s="348" t="s">
        <v>621</v>
      </c>
      <c r="W31" s="348" t="s">
        <v>621</v>
      </c>
      <c r="X31" s="348" t="s">
        <v>621</v>
      </c>
      <c r="Y31" s="348" t="s">
        <v>621</v>
      </c>
      <c r="Z31" s="348" t="s">
        <v>621</v>
      </c>
      <c r="AA31" s="348" t="s">
        <v>621</v>
      </c>
      <c r="AB31" s="348" t="s">
        <v>621</v>
      </c>
      <c r="AC31" s="348" t="s">
        <v>621</v>
      </c>
      <c r="AD31" s="348" t="s">
        <v>621</v>
      </c>
      <c r="AE31" s="348" t="s">
        <v>621</v>
      </c>
      <c r="AF31" s="348" t="s">
        <v>621</v>
      </c>
      <c r="AG31" s="348" t="s">
        <v>621</v>
      </c>
      <c r="AH31" s="348" t="s">
        <v>621</v>
      </c>
      <c r="AI31" s="348" t="s">
        <v>621</v>
      </c>
      <c r="AJ31" s="348" t="s">
        <v>621</v>
      </c>
      <c r="AK31" s="348" t="s">
        <v>621</v>
      </c>
      <c r="AL31" s="348" t="s">
        <v>621</v>
      </c>
      <c r="AM31" s="348" t="s">
        <v>621</v>
      </c>
      <c r="AN31" s="348" t="s">
        <v>621</v>
      </c>
      <c r="AO31" s="348" t="s">
        <v>621</v>
      </c>
      <c r="AP31" s="348" t="s">
        <v>621</v>
      </c>
      <c r="AQ31" s="348" t="s">
        <v>621</v>
      </c>
      <c r="AR31" s="348" t="s">
        <v>621</v>
      </c>
      <c r="AS31" s="348" t="s">
        <v>621</v>
      </c>
    </row>
    <row r="32" spans="1:45" s="388" customFormat="1" ht="105" hidden="1" x14ac:dyDescent="0.25">
      <c r="A32" s="380" t="s">
        <v>569</v>
      </c>
      <c r="B32" s="381" t="s">
        <v>727</v>
      </c>
      <c r="C32" s="348" t="s">
        <v>621</v>
      </c>
      <c r="D32" s="348" t="s">
        <v>621</v>
      </c>
      <c r="E32" s="348" t="s">
        <v>621</v>
      </c>
      <c r="F32" s="348" t="s">
        <v>621</v>
      </c>
      <c r="G32" s="348" t="s">
        <v>621</v>
      </c>
      <c r="H32" s="348" t="s">
        <v>621</v>
      </c>
      <c r="I32" s="348" t="s">
        <v>621</v>
      </c>
      <c r="J32" s="348" t="s">
        <v>621</v>
      </c>
      <c r="K32" s="348" t="s">
        <v>621</v>
      </c>
      <c r="L32" s="348" t="s">
        <v>621</v>
      </c>
      <c r="M32" s="348" t="s">
        <v>621</v>
      </c>
      <c r="N32" s="348">
        <v>7.2039999999999997</v>
      </c>
      <c r="O32" s="348" t="s">
        <v>621</v>
      </c>
      <c r="P32" s="348" t="s">
        <v>621</v>
      </c>
      <c r="Q32" s="348" t="s">
        <v>621</v>
      </c>
      <c r="R32" s="348" t="s">
        <v>621</v>
      </c>
      <c r="S32" s="348" t="s">
        <v>621</v>
      </c>
      <c r="T32" s="348" t="s">
        <v>621</v>
      </c>
      <c r="U32" s="348" t="s">
        <v>621</v>
      </c>
      <c r="V32" s="348" t="s">
        <v>621</v>
      </c>
      <c r="W32" s="348" t="s">
        <v>621</v>
      </c>
      <c r="X32" s="348" t="s">
        <v>621</v>
      </c>
      <c r="Y32" s="348" t="s">
        <v>621</v>
      </c>
      <c r="Z32" s="348" t="s">
        <v>621</v>
      </c>
      <c r="AA32" s="348" t="s">
        <v>621</v>
      </c>
      <c r="AB32" s="348" t="s">
        <v>621</v>
      </c>
      <c r="AC32" s="348" t="s">
        <v>621</v>
      </c>
      <c r="AD32" s="348" t="s">
        <v>621</v>
      </c>
      <c r="AE32" s="348" t="s">
        <v>621</v>
      </c>
      <c r="AF32" s="348" t="s">
        <v>621</v>
      </c>
      <c r="AG32" s="348" t="s">
        <v>621</v>
      </c>
      <c r="AH32" s="348" t="s">
        <v>621</v>
      </c>
      <c r="AI32" s="348" t="s">
        <v>621</v>
      </c>
      <c r="AJ32" s="348" t="s">
        <v>621</v>
      </c>
      <c r="AK32" s="348" t="s">
        <v>621</v>
      </c>
      <c r="AL32" s="348" t="s">
        <v>621</v>
      </c>
      <c r="AM32" s="348" t="s">
        <v>621</v>
      </c>
      <c r="AN32" s="348" t="s">
        <v>621</v>
      </c>
      <c r="AO32" s="348" t="s">
        <v>621</v>
      </c>
      <c r="AP32" s="348" t="s">
        <v>621</v>
      </c>
      <c r="AQ32" s="348" t="s">
        <v>621</v>
      </c>
      <c r="AR32" s="348" t="s">
        <v>621</v>
      </c>
      <c r="AS32" s="348" t="s">
        <v>621</v>
      </c>
    </row>
    <row r="33" spans="1:45" s="388" customFormat="1" ht="78.75" hidden="1" x14ac:dyDescent="0.25">
      <c r="A33" s="380" t="s">
        <v>570</v>
      </c>
      <c r="B33" s="381" t="s">
        <v>728</v>
      </c>
      <c r="C33" s="348" t="s">
        <v>621</v>
      </c>
      <c r="D33" s="348" t="s">
        <v>621</v>
      </c>
      <c r="E33" s="348" t="s">
        <v>621</v>
      </c>
      <c r="F33" s="348" t="s">
        <v>621</v>
      </c>
      <c r="G33" s="348" t="s">
        <v>621</v>
      </c>
      <c r="H33" s="348" t="s">
        <v>621</v>
      </c>
      <c r="I33" s="348" t="s">
        <v>621</v>
      </c>
      <c r="J33" s="348" t="s">
        <v>621</v>
      </c>
      <c r="K33" s="348" t="s">
        <v>621</v>
      </c>
      <c r="L33" s="348" t="s">
        <v>621</v>
      </c>
      <c r="M33" s="348" t="s">
        <v>621</v>
      </c>
      <c r="N33" s="348">
        <v>7.2039999999999997</v>
      </c>
      <c r="O33" s="348" t="s">
        <v>621</v>
      </c>
      <c r="P33" s="348" t="s">
        <v>621</v>
      </c>
      <c r="Q33" s="348" t="s">
        <v>621</v>
      </c>
      <c r="R33" s="348" t="s">
        <v>621</v>
      </c>
      <c r="S33" s="348" t="s">
        <v>621</v>
      </c>
      <c r="T33" s="348" t="s">
        <v>621</v>
      </c>
      <c r="U33" s="348" t="s">
        <v>621</v>
      </c>
      <c r="V33" s="348" t="s">
        <v>621</v>
      </c>
      <c r="W33" s="348" t="s">
        <v>621</v>
      </c>
      <c r="X33" s="348" t="s">
        <v>621</v>
      </c>
      <c r="Y33" s="348" t="s">
        <v>621</v>
      </c>
      <c r="Z33" s="348" t="s">
        <v>621</v>
      </c>
      <c r="AA33" s="348" t="s">
        <v>621</v>
      </c>
      <c r="AB33" s="348" t="s">
        <v>621</v>
      </c>
      <c r="AC33" s="348" t="s">
        <v>621</v>
      </c>
      <c r="AD33" s="348" t="s">
        <v>621</v>
      </c>
      <c r="AE33" s="348" t="s">
        <v>621</v>
      </c>
      <c r="AF33" s="348" t="s">
        <v>621</v>
      </c>
      <c r="AG33" s="348" t="s">
        <v>621</v>
      </c>
      <c r="AH33" s="348" t="s">
        <v>621</v>
      </c>
      <c r="AI33" s="348" t="s">
        <v>621</v>
      </c>
      <c r="AJ33" s="348" t="s">
        <v>621</v>
      </c>
      <c r="AK33" s="348" t="s">
        <v>621</v>
      </c>
      <c r="AL33" s="348" t="s">
        <v>621</v>
      </c>
      <c r="AM33" s="348" t="s">
        <v>621</v>
      </c>
      <c r="AN33" s="348" t="s">
        <v>621</v>
      </c>
      <c r="AO33" s="348" t="s">
        <v>621</v>
      </c>
      <c r="AP33" s="348" t="s">
        <v>621</v>
      </c>
      <c r="AQ33" s="348" t="s">
        <v>621</v>
      </c>
      <c r="AR33" s="348" t="s">
        <v>621</v>
      </c>
      <c r="AS33" s="348" t="s">
        <v>621</v>
      </c>
    </row>
    <row r="34" spans="1:45" s="388" customFormat="1" ht="52.5" hidden="1" x14ac:dyDescent="0.25">
      <c r="A34" s="380" t="s">
        <v>541</v>
      </c>
      <c r="B34" s="381" t="s">
        <v>729</v>
      </c>
      <c r="C34" s="348" t="s">
        <v>621</v>
      </c>
      <c r="D34" s="348" t="s">
        <v>621</v>
      </c>
      <c r="E34" s="348" t="s">
        <v>621</v>
      </c>
      <c r="F34" s="348" t="s">
        <v>621</v>
      </c>
      <c r="G34" s="348" t="s">
        <v>621</v>
      </c>
      <c r="H34" s="348" t="s">
        <v>621</v>
      </c>
      <c r="I34" s="348" t="s">
        <v>621</v>
      </c>
      <c r="J34" s="348" t="s">
        <v>621</v>
      </c>
      <c r="K34" s="348" t="s">
        <v>621</v>
      </c>
      <c r="L34" s="348" t="s">
        <v>621</v>
      </c>
      <c r="M34" s="348" t="s">
        <v>621</v>
      </c>
      <c r="N34" s="348">
        <v>7.2039999999999997</v>
      </c>
      <c r="O34" s="348" t="s">
        <v>621</v>
      </c>
      <c r="P34" s="348" t="s">
        <v>621</v>
      </c>
      <c r="Q34" s="348" t="s">
        <v>621</v>
      </c>
      <c r="R34" s="348" t="s">
        <v>621</v>
      </c>
      <c r="S34" s="348" t="s">
        <v>621</v>
      </c>
      <c r="T34" s="348" t="s">
        <v>621</v>
      </c>
      <c r="U34" s="348" t="s">
        <v>621</v>
      </c>
      <c r="V34" s="348" t="s">
        <v>621</v>
      </c>
      <c r="W34" s="348" t="s">
        <v>621</v>
      </c>
      <c r="X34" s="348" t="s">
        <v>621</v>
      </c>
      <c r="Y34" s="348" t="s">
        <v>621</v>
      </c>
      <c r="Z34" s="348" t="s">
        <v>621</v>
      </c>
      <c r="AA34" s="348" t="s">
        <v>621</v>
      </c>
      <c r="AB34" s="348" t="s">
        <v>621</v>
      </c>
      <c r="AC34" s="348" t="s">
        <v>621</v>
      </c>
      <c r="AD34" s="348" t="s">
        <v>621</v>
      </c>
      <c r="AE34" s="348" t="s">
        <v>621</v>
      </c>
      <c r="AF34" s="348" t="s">
        <v>621</v>
      </c>
      <c r="AG34" s="348" t="s">
        <v>621</v>
      </c>
      <c r="AH34" s="348" t="s">
        <v>621</v>
      </c>
      <c r="AI34" s="348" t="s">
        <v>621</v>
      </c>
      <c r="AJ34" s="348" t="s">
        <v>621</v>
      </c>
      <c r="AK34" s="348" t="s">
        <v>621</v>
      </c>
      <c r="AL34" s="348" t="s">
        <v>621</v>
      </c>
      <c r="AM34" s="348" t="s">
        <v>621</v>
      </c>
      <c r="AN34" s="348" t="s">
        <v>621</v>
      </c>
      <c r="AO34" s="348" t="s">
        <v>621</v>
      </c>
      <c r="AP34" s="348" t="s">
        <v>621</v>
      </c>
      <c r="AQ34" s="348" t="s">
        <v>621</v>
      </c>
      <c r="AR34" s="348" t="s">
        <v>621</v>
      </c>
      <c r="AS34" s="348" t="s">
        <v>621</v>
      </c>
    </row>
    <row r="35" spans="1:45" s="388" customFormat="1" ht="105" hidden="1" x14ac:dyDescent="0.25">
      <c r="A35" s="380" t="s">
        <v>572</v>
      </c>
      <c r="B35" s="381" t="s">
        <v>730</v>
      </c>
      <c r="C35" s="348" t="s">
        <v>621</v>
      </c>
      <c r="D35" s="348" t="s">
        <v>621</v>
      </c>
      <c r="E35" s="348" t="s">
        <v>621</v>
      </c>
      <c r="F35" s="348" t="s">
        <v>621</v>
      </c>
      <c r="G35" s="348" t="s">
        <v>621</v>
      </c>
      <c r="H35" s="348" t="s">
        <v>621</v>
      </c>
      <c r="I35" s="348" t="s">
        <v>621</v>
      </c>
      <c r="J35" s="348" t="s">
        <v>621</v>
      </c>
      <c r="K35" s="348" t="s">
        <v>621</v>
      </c>
      <c r="L35" s="348" t="s">
        <v>621</v>
      </c>
      <c r="M35" s="348" t="s">
        <v>621</v>
      </c>
      <c r="N35" s="348">
        <v>7.2039999999999997</v>
      </c>
      <c r="O35" s="348" t="s">
        <v>621</v>
      </c>
      <c r="P35" s="348" t="s">
        <v>621</v>
      </c>
      <c r="Q35" s="348" t="s">
        <v>621</v>
      </c>
      <c r="R35" s="348" t="s">
        <v>621</v>
      </c>
      <c r="S35" s="348" t="s">
        <v>621</v>
      </c>
      <c r="T35" s="348" t="s">
        <v>621</v>
      </c>
      <c r="U35" s="348" t="s">
        <v>621</v>
      </c>
      <c r="V35" s="348" t="s">
        <v>621</v>
      </c>
      <c r="W35" s="348" t="s">
        <v>621</v>
      </c>
      <c r="X35" s="348" t="s">
        <v>621</v>
      </c>
      <c r="Y35" s="348" t="s">
        <v>621</v>
      </c>
      <c r="Z35" s="348" t="s">
        <v>621</v>
      </c>
      <c r="AA35" s="348" t="s">
        <v>621</v>
      </c>
      <c r="AB35" s="348" t="s">
        <v>621</v>
      </c>
      <c r="AC35" s="348" t="s">
        <v>621</v>
      </c>
      <c r="AD35" s="348" t="s">
        <v>621</v>
      </c>
      <c r="AE35" s="348" t="s">
        <v>621</v>
      </c>
      <c r="AF35" s="348" t="s">
        <v>621</v>
      </c>
      <c r="AG35" s="348" t="s">
        <v>621</v>
      </c>
      <c r="AH35" s="348" t="s">
        <v>621</v>
      </c>
      <c r="AI35" s="348" t="s">
        <v>621</v>
      </c>
      <c r="AJ35" s="348" t="s">
        <v>621</v>
      </c>
      <c r="AK35" s="348" t="s">
        <v>621</v>
      </c>
      <c r="AL35" s="348" t="s">
        <v>621</v>
      </c>
      <c r="AM35" s="348" t="s">
        <v>621</v>
      </c>
      <c r="AN35" s="348" t="s">
        <v>621</v>
      </c>
      <c r="AO35" s="348" t="s">
        <v>621</v>
      </c>
      <c r="AP35" s="348" t="s">
        <v>621</v>
      </c>
      <c r="AQ35" s="348" t="s">
        <v>621</v>
      </c>
      <c r="AR35" s="348" t="s">
        <v>621</v>
      </c>
      <c r="AS35" s="348" t="s">
        <v>621</v>
      </c>
    </row>
    <row r="36" spans="1:45" s="388" customFormat="1" ht="78.75" hidden="1" x14ac:dyDescent="0.25">
      <c r="A36" s="380" t="s">
        <v>573</v>
      </c>
      <c r="B36" s="381" t="s">
        <v>731</v>
      </c>
      <c r="C36" s="348" t="s">
        <v>621</v>
      </c>
      <c r="D36" s="348" t="s">
        <v>621</v>
      </c>
      <c r="E36" s="348" t="s">
        <v>621</v>
      </c>
      <c r="F36" s="348" t="s">
        <v>621</v>
      </c>
      <c r="G36" s="348" t="s">
        <v>621</v>
      </c>
      <c r="H36" s="348" t="s">
        <v>621</v>
      </c>
      <c r="I36" s="348" t="s">
        <v>621</v>
      </c>
      <c r="J36" s="348" t="s">
        <v>621</v>
      </c>
      <c r="K36" s="348" t="s">
        <v>621</v>
      </c>
      <c r="L36" s="348" t="s">
        <v>621</v>
      </c>
      <c r="M36" s="348" t="s">
        <v>621</v>
      </c>
      <c r="N36" s="348">
        <v>7.2039999999999997</v>
      </c>
      <c r="O36" s="348" t="s">
        <v>621</v>
      </c>
      <c r="P36" s="348" t="s">
        <v>621</v>
      </c>
      <c r="Q36" s="348" t="s">
        <v>621</v>
      </c>
      <c r="R36" s="348" t="s">
        <v>621</v>
      </c>
      <c r="S36" s="348" t="s">
        <v>621</v>
      </c>
      <c r="T36" s="348" t="s">
        <v>621</v>
      </c>
      <c r="U36" s="348" t="s">
        <v>621</v>
      </c>
      <c r="V36" s="348" t="s">
        <v>621</v>
      </c>
      <c r="W36" s="348" t="s">
        <v>621</v>
      </c>
      <c r="X36" s="348" t="s">
        <v>621</v>
      </c>
      <c r="Y36" s="348" t="s">
        <v>621</v>
      </c>
      <c r="Z36" s="348" t="s">
        <v>621</v>
      </c>
      <c r="AA36" s="348" t="s">
        <v>621</v>
      </c>
      <c r="AB36" s="348" t="s">
        <v>621</v>
      </c>
      <c r="AC36" s="348" t="s">
        <v>621</v>
      </c>
      <c r="AD36" s="348" t="s">
        <v>621</v>
      </c>
      <c r="AE36" s="348" t="s">
        <v>621</v>
      </c>
      <c r="AF36" s="348" t="s">
        <v>621</v>
      </c>
      <c r="AG36" s="348" t="s">
        <v>621</v>
      </c>
      <c r="AH36" s="348" t="s">
        <v>621</v>
      </c>
      <c r="AI36" s="348" t="s">
        <v>621</v>
      </c>
      <c r="AJ36" s="348" t="s">
        <v>621</v>
      </c>
      <c r="AK36" s="348" t="s">
        <v>621</v>
      </c>
      <c r="AL36" s="348" t="s">
        <v>621</v>
      </c>
      <c r="AM36" s="348" t="s">
        <v>621</v>
      </c>
      <c r="AN36" s="348" t="s">
        <v>621</v>
      </c>
      <c r="AO36" s="348" t="s">
        <v>621</v>
      </c>
      <c r="AP36" s="348" t="s">
        <v>621</v>
      </c>
      <c r="AQ36" s="348" t="s">
        <v>621</v>
      </c>
      <c r="AR36" s="348" t="s">
        <v>621</v>
      </c>
      <c r="AS36" s="348" t="s">
        <v>621</v>
      </c>
    </row>
    <row r="37" spans="1:45" s="388" customFormat="1" ht="78.75" hidden="1" x14ac:dyDescent="0.25">
      <c r="A37" s="380" t="s">
        <v>542</v>
      </c>
      <c r="B37" s="381" t="s">
        <v>732</v>
      </c>
      <c r="C37" s="348" t="s">
        <v>621</v>
      </c>
      <c r="D37" s="348" t="s">
        <v>621</v>
      </c>
      <c r="E37" s="348" t="s">
        <v>621</v>
      </c>
      <c r="F37" s="348" t="s">
        <v>621</v>
      </c>
      <c r="G37" s="348" t="s">
        <v>621</v>
      </c>
      <c r="H37" s="348" t="s">
        <v>621</v>
      </c>
      <c r="I37" s="348" t="s">
        <v>621</v>
      </c>
      <c r="J37" s="348" t="s">
        <v>621</v>
      </c>
      <c r="K37" s="348" t="s">
        <v>621</v>
      </c>
      <c r="L37" s="348" t="s">
        <v>621</v>
      </c>
      <c r="M37" s="348" t="s">
        <v>621</v>
      </c>
      <c r="N37" s="348">
        <v>7.2039999999999997</v>
      </c>
      <c r="O37" s="348" t="s">
        <v>621</v>
      </c>
      <c r="P37" s="348" t="s">
        <v>621</v>
      </c>
      <c r="Q37" s="348" t="s">
        <v>621</v>
      </c>
      <c r="R37" s="348" t="s">
        <v>621</v>
      </c>
      <c r="S37" s="348" t="s">
        <v>621</v>
      </c>
      <c r="T37" s="348" t="s">
        <v>621</v>
      </c>
      <c r="U37" s="348" t="s">
        <v>621</v>
      </c>
      <c r="V37" s="348" t="s">
        <v>621</v>
      </c>
      <c r="W37" s="348" t="s">
        <v>621</v>
      </c>
      <c r="X37" s="348" t="s">
        <v>621</v>
      </c>
      <c r="Y37" s="348" t="s">
        <v>621</v>
      </c>
      <c r="Z37" s="348" t="s">
        <v>621</v>
      </c>
      <c r="AA37" s="348" t="s">
        <v>621</v>
      </c>
      <c r="AB37" s="348" t="s">
        <v>621</v>
      </c>
      <c r="AC37" s="348" t="s">
        <v>621</v>
      </c>
      <c r="AD37" s="348" t="s">
        <v>621</v>
      </c>
      <c r="AE37" s="348" t="s">
        <v>621</v>
      </c>
      <c r="AF37" s="348" t="s">
        <v>621</v>
      </c>
      <c r="AG37" s="348" t="s">
        <v>621</v>
      </c>
      <c r="AH37" s="348" t="s">
        <v>621</v>
      </c>
      <c r="AI37" s="348" t="s">
        <v>621</v>
      </c>
      <c r="AJ37" s="348" t="s">
        <v>621</v>
      </c>
      <c r="AK37" s="348" t="s">
        <v>621</v>
      </c>
      <c r="AL37" s="348" t="s">
        <v>621</v>
      </c>
      <c r="AM37" s="348" t="s">
        <v>621</v>
      </c>
      <c r="AN37" s="348" t="s">
        <v>621</v>
      </c>
      <c r="AO37" s="348" t="s">
        <v>621</v>
      </c>
      <c r="AP37" s="348" t="s">
        <v>621</v>
      </c>
      <c r="AQ37" s="348" t="s">
        <v>621</v>
      </c>
      <c r="AR37" s="348" t="s">
        <v>621</v>
      </c>
      <c r="AS37" s="348" t="s">
        <v>621</v>
      </c>
    </row>
    <row r="38" spans="1:45" s="388" customFormat="1" ht="52.5" hidden="1" x14ac:dyDescent="0.25">
      <c r="A38" s="380"/>
      <c r="B38" s="381" t="s">
        <v>733</v>
      </c>
      <c r="C38" s="348" t="s">
        <v>621</v>
      </c>
      <c r="D38" s="348" t="s">
        <v>621</v>
      </c>
      <c r="E38" s="348" t="s">
        <v>621</v>
      </c>
      <c r="F38" s="348" t="s">
        <v>621</v>
      </c>
      <c r="G38" s="348" t="s">
        <v>621</v>
      </c>
      <c r="H38" s="348" t="s">
        <v>621</v>
      </c>
      <c r="I38" s="348" t="s">
        <v>621</v>
      </c>
      <c r="J38" s="348" t="s">
        <v>621</v>
      </c>
      <c r="K38" s="348" t="s">
        <v>621</v>
      </c>
      <c r="L38" s="348" t="s">
        <v>621</v>
      </c>
      <c r="M38" s="348" t="s">
        <v>621</v>
      </c>
      <c r="N38" s="348">
        <v>7.2039999999999997</v>
      </c>
      <c r="O38" s="348" t="s">
        <v>621</v>
      </c>
      <c r="P38" s="348" t="s">
        <v>621</v>
      </c>
      <c r="Q38" s="348" t="s">
        <v>621</v>
      </c>
      <c r="R38" s="348" t="s">
        <v>621</v>
      </c>
      <c r="S38" s="348" t="s">
        <v>621</v>
      </c>
      <c r="T38" s="348" t="s">
        <v>621</v>
      </c>
      <c r="U38" s="348" t="s">
        <v>621</v>
      </c>
      <c r="V38" s="348" t="s">
        <v>621</v>
      </c>
      <c r="W38" s="348" t="s">
        <v>621</v>
      </c>
      <c r="X38" s="348" t="s">
        <v>621</v>
      </c>
      <c r="Y38" s="348" t="s">
        <v>621</v>
      </c>
      <c r="Z38" s="348" t="s">
        <v>621</v>
      </c>
      <c r="AA38" s="348" t="s">
        <v>621</v>
      </c>
      <c r="AB38" s="348" t="s">
        <v>621</v>
      </c>
      <c r="AC38" s="348" t="s">
        <v>621</v>
      </c>
      <c r="AD38" s="348" t="s">
        <v>621</v>
      </c>
      <c r="AE38" s="348" t="s">
        <v>621</v>
      </c>
      <c r="AF38" s="348" t="s">
        <v>621</v>
      </c>
      <c r="AG38" s="348" t="s">
        <v>621</v>
      </c>
      <c r="AH38" s="348" t="s">
        <v>621</v>
      </c>
      <c r="AI38" s="348" t="s">
        <v>621</v>
      </c>
      <c r="AJ38" s="348" t="s">
        <v>621</v>
      </c>
      <c r="AK38" s="348" t="s">
        <v>621</v>
      </c>
      <c r="AL38" s="348" t="s">
        <v>621</v>
      </c>
      <c r="AM38" s="348" t="s">
        <v>621</v>
      </c>
      <c r="AN38" s="348" t="s">
        <v>621</v>
      </c>
      <c r="AO38" s="348" t="s">
        <v>621</v>
      </c>
      <c r="AP38" s="348" t="s">
        <v>621</v>
      </c>
      <c r="AQ38" s="348" t="s">
        <v>621</v>
      </c>
      <c r="AR38" s="348" t="s">
        <v>621</v>
      </c>
      <c r="AS38" s="348" t="s">
        <v>621</v>
      </c>
    </row>
    <row r="39" spans="1:45" s="388" customFormat="1" ht="157.5" hidden="1" x14ac:dyDescent="0.25">
      <c r="A39" s="380" t="s">
        <v>576</v>
      </c>
      <c r="B39" s="381" t="s">
        <v>734</v>
      </c>
      <c r="C39" s="348" t="s">
        <v>621</v>
      </c>
      <c r="D39" s="348" t="s">
        <v>621</v>
      </c>
      <c r="E39" s="348" t="s">
        <v>621</v>
      </c>
      <c r="F39" s="348" t="s">
        <v>621</v>
      </c>
      <c r="G39" s="348" t="s">
        <v>621</v>
      </c>
      <c r="H39" s="348" t="s">
        <v>621</v>
      </c>
      <c r="I39" s="348" t="s">
        <v>621</v>
      </c>
      <c r="J39" s="348" t="s">
        <v>621</v>
      </c>
      <c r="K39" s="348" t="s">
        <v>621</v>
      </c>
      <c r="L39" s="348" t="s">
        <v>621</v>
      </c>
      <c r="M39" s="348" t="s">
        <v>621</v>
      </c>
      <c r="N39" s="348">
        <v>7.2039999999999997</v>
      </c>
      <c r="O39" s="348" t="s">
        <v>621</v>
      </c>
      <c r="P39" s="348" t="s">
        <v>621</v>
      </c>
      <c r="Q39" s="348" t="s">
        <v>621</v>
      </c>
      <c r="R39" s="348" t="s">
        <v>621</v>
      </c>
      <c r="S39" s="348" t="s">
        <v>621</v>
      </c>
      <c r="T39" s="348" t="s">
        <v>621</v>
      </c>
      <c r="U39" s="348" t="s">
        <v>621</v>
      </c>
      <c r="V39" s="348" t="s">
        <v>621</v>
      </c>
      <c r="W39" s="348" t="s">
        <v>621</v>
      </c>
      <c r="X39" s="348" t="s">
        <v>621</v>
      </c>
      <c r="Y39" s="348" t="s">
        <v>621</v>
      </c>
      <c r="Z39" s="348" t="s">
        <v>621</v>
      </c>
      <c r="AA39" s="348" t="s">
        <v>621</v>
      </c>
      <c r="AB39" s="348" t="s">
        <v>621</v>
      </c>
      <c r="AC39" s="348" t="s">
        <v>621</v>
      </c>
      <c r="AD39" s="348" t="s">
        <v>621</v>
      </c>
      <c r="AE39" s="348" t="s">
        <v>621</v>
      </c>
      <c r="AF39" s="348" t="s">
        <v>621</v>
      </c>
      <c r="AG39" s="348" t="s">
        <v>621</v>
      </c>
      <c r="AH39" s="348" t="s">
        <v>621</v>
      </c>
      <c r="AI39" s="348" t="s">
        <v>621</v>
      </c>
      <c r="AJ39" s="348" t="s">
        <v>621</v>
      </c>
      <c r="AK39" s="348" t="s">
        <v>621</v>
      </c>
      <c r="AL39" s="348" t="s">
        <v>621</v>
      </c>
      <c r="AM39" s="348" t="s">
        <v>621</v>
      </c>
      <c r="AN39" s="348" t="s">
        <v>621</v>
      </c>
      <c r="AO39" s="348" t="s">
        <v>621</v>
      </c>
      <c r="AP39" s="348" t="s">
        <v>621</v>
      </c>
      <c r="AQ39" s="348" t="s">
        <v>621</v>
      </c>
      <c r="AR39" s="348" t="s">
        <v>621</v>
      </c>
      <c r="AS39" s="348" t="s">
        <v>621</v>
      </c>
    </row>
    <row r="40" spans="1:45" s="388" customFormat="1" ht="131.25" hidden="1" x14ac:dyDescent="0.25">
      <c r="A40" s="380" t="s">
        <v>577</v>
      </c>
      <c r="B40" s="381" t="s">
        <v>735</v>
      </c>
      <c r="C40" s="348" t="s">
        <v>621</v>
      </c>
      <c r="D40" s="348" t="s">
        <v>621</v>
      </c>
      <c r="E40" s="348" t="s">
        <v>621</v>
      </c>
      <c r="F40" s="348" t="s">
        <v>621</v>
      </c>
      <c r="G40" s="348" t="s">
        <v>621</v>
      </c>
      <c r="H40" s="348" t="s">
        <v>621</v>
      </c>
      <c r="I40" s="348" t="s">
        <v>621</v>
      </c>
      <c r="J40" s="348" t="s">
        <v>621</v>
      </c>
      <c r="K40" s="348" t="s">
        <v>621</v>
      </c>
      <c r="L40" s="348" t="s">
        <v>621</v>
      </c>
      <c r="M40" s="348" t="s">
        <v>621</v>
      </c>
      <c r="N40" s="348">
        <v>7.2039999999999997</v>
      </c>
      <c r="O40" s="348" t="s">
        <v>621</v>
      </c>
      <c r="P40" s="348" t="s">
        <v>621</v>
      </c>
      <c r="Q40" s="348" t="s">
        <v>621</v>
      </c>
      <c r="R40" s="348" t="s">
        <v>621</v>
      </c>
      <c r="S40" s="348" t="s">
        <v>621</v>
      </c>
      <c r="T40" s="348" t="s">
        <v>621</v>
      </c>
      <c r="U40" s="348" t="s">
        <v>621</v>
      </c>
      <c r="V40" s="348" t="s">
        <v>621</v>
      </c>
      <c r="W40" s="348" t="s">
        <v>621</v>
      </c>
      <c r="X40" s="348" t="s">
        <v>621</v>
      </c>
      <c r="Y40" s="348" t="s">
        <v>621</v>
      </c>
      <c r="Z40" s="348" t="s">
        <v>621</v>
      </c>
      <c r="AA40" s="348" t="s">
        <v>621</v>
      </c>
      <c r="AB40" s="348" t="s">
        <v>621</v>
      </c>
      <c r="AC40" s="348" t="s">
        <v>621</v>
      </c>
      <c r="AD40" s="348" t="s">
        <v>621</v>
      </c>
      <c r="AE40" s="348" t="s">
        <v>621</v>
      </c>
      <c r="AF40" s="348" t="s">
        <v>621</v>
      </c>
      <c r="AG40" s="348" t="s">
        <v>621</v>
      </c>
      <c r="AH40" s="348" t="s">
        <v>621</v>
      </c>
      <c r="AI40" s="348" t="s">
        <v>621</v>
      </c>
      <c r="AJ40" s="348" t="s">
        <v>621</v>
      </c>
      <c r="AK40" s="348" t="s">
        <v>621</v>
      </c>
      <c r="AL40" s="348" t="s">
        <v>621</v>
      </c>
      <c r="AM40" s="348" t="s">
        <v>621</v>
      </c>
      <c r="AN40" s="348" t="s">
        <v>621</v>
      </c>
      <c r="AO40" s="348" t="s">
        <v>621</v>
      </c>
      <c r="AP40" s="348" t="s">
        <v>621</v>
      </c>
      <c r="AQ40" s="348" t="s">
        <v>621</v>
      </c>
      <c r="AR40" s="348" t="s">
        <v>621</v>
      </c>
      <c r="AS40" s="348" t="s">
        <v>621</v>
      </c>
    </row>
    <row r="41" spans="1:45" s="388" customFormat="1" ht="157.5" hidden="1" x14ac:dyDescent="0.25">
      <c r="A41" s="380" t="s">
        <v>578</v>
      </c>
      <c r="B41" s="381" t="s">
        <v>736</v>
      </c>
      <c r="C41" s="348" t="s">
        <v>621</v>
      </c>
      <c r="D41" s="348" t="s">
        <v>621</v>
      </c>
      <c r="E41" s="348" t="s">
        <v>621</v>
      </c>
      <c r="F41" s="348" t="s">
        <v>621</v>
      </c>
      <c r="G41" s="348" t="s">
        <v>621</v>
      </c>
      <c r="H41" s="348" t="s">
        <v>621</v>
      </c>
      <c r="I41" s="348" t="s">
        <v>621</v>
      </c>
      <c r="J41" s="348" t="s">
        <v>621</v>
      </c>
      <c r="K41" s="348" t="s">
        <v>621</v>
      </c>
      <c r="L41" s="348" t="s">
        <v>621</v>
      </c>
      <c r="M41" s="348" t="s">
        <v>621</v>
      </c>
      <c r="N41" s="348">
        <v>7.2039999999999997</v>
      </c>
      <c r="O41" s="348" t="s">
        <v>621</v>
      </c>
      <c r="P41" s="348" t="s">
        <v>621</v>
      </c>
      <c r="Q41" s="348" t="s">
        <v>621</v>
      </c>
      <c r="R41" s="348" t="s">
        <v>621</v>
      </c>
      <c r="S41" s="348" t="s">
        <v>621</v>
      </c>
      <c r="T41" s="348" t="s">
        <v>621</v>
      </c>
      <c r="U41" s="348" t="s">
        <v>621</v>
      </c>
      <c r="V41" s="348" t="s">
        <v>621</v>
      </c>
      <c r="W41" s="348" t="s">
        <v>621</v>
      </c>
      <c r="X41" s="348" t="s">
        <v>621</v>
      </c>
      <c r="Y41" s="348" t="s">
        <v>621</v>
      </c>
      <c r="Z41" s="348" t="s">
        <v>621</v>
      </c>
      <c r="AA41" s="348" t="s">
        <v>621</v>
      </c>
      <c r="AB41" s="348" t="s">
        <v>621</v>
      </c>
      <c r="AC41" s="348" t="s">
        <v>621</v>
      </c>
      <c r="AD41" s="348" t="s">
        <v>621</v>
      </c>
      <c r="AE41" s="348" t="s">
        <v>621</v>
      </c>
      <c r="AF41" s="348" t="s">
        <v>621</v>
      </c>
      <c r="AG41" s="348" t="s">
        <v>621</v>
      </c>
      <c r="AH41" s="348" t="s">
        <v>621</v>
      </c>
      <c r="AI41" s="348" t="s">
        <v>621</v>
      </c>
      <c r="AJ41" s="348" t="s">
        <v>621</v>
      </c>
      <c r="AK41" s="348" t="s">
        <v>621</v>
      </c>
      <c r="AL41" s="348" t="s">
        <v>621</v>
      </c>
      <c r="AM41" s="348" t="s">
        <v>621</v>
      </c>
      <c r="AN41" s="348" t="s">
        <v>621</v>
      </c>
      <c r="AO41" s="348" t="s">
        <v>621</v>
      </c>
      <c r="AP41" s="348" t="s">
        <v>621</v>
      </c>
      <c r="AQ41" s="348" t="s">
        <v>621</v>
      </c>
      <c r="AR41" s="348" t="s">
        <v>621</v>
      </c>
      <c r="AS41" s="348" t="s">
        <v>621</v>
      </c>
    </row>
    <row r="42" spans="1:45" s="388" customFormat="1" ht="131.25" hidden="1" x14ac:dyDescent="0.25">
      <c r="A42" s="380" t="s">
        <v>543</v>
      </c>
      <c r="B42" s="381" t="s">
        <v>693</v>
      </c>
      <c r="C42" s="348" t="s">
        <v>621</v>
      </c>
      <c r="D42" s="348" t="s">
        <v>621</v>
      </c>
      <c r="E42" s="348" t="s">
        <v>621</v>
      </c>
      <c r="F42" s="348" t="s">
        <v>621</v>
      </c>
      <c r="G42" s="348" t="s">
        <v>621</v>
      </c>
      <c r="H42" s="348" t="s">
        <v>621</v>
      </c>
      <c r="I42" s="348" t="s">
        <v>621</v>
      </c>
      <c r="J42" s="348" t="s">
        <v>621</v>
      </c>
      <c r="K42" s="348" t="s">
        <v>621</v>
      </c>
      <c r="L42" s="348" t="s">
        <v>621</v>
      </c>
      <c r="M42" s="348" t="s">
        <v>621</v>
      </c>
      <c r="N42" s="348">
        <v>7.2039999999999997</v>
      </c>
      <c r="O42" s="348" t="s">
        <v>621</v>
      </c>
      <c r="P42" s="348" t="s">
        <v>621</v>
      </c>
      <c r="Q42" s="348" t="s">
        <v>621</v>
      </c>
      <c r="R42" s="348" t="s">
        <v>621</v>
      </c>
      <c r="S42" s="348" t="s">
        <v>621</v>
      </c>
      <c r="T42" s="348" t="s">
        <v>621</v>
      </c>
      <c r="U42" s="348" t="s">
        <v>621</v>
      </c>
      <c r="V42" s="348" t="s">
        <v>621</v>
      </c>
      <c r="W42" s="348" t="s">
        <v>621</v>
      </c>
      <c r="X42" s="348" t="s">
        <v>621</v>
      </c>
      <c r="Y42" s="348" t="s">
        <v>621</v>
      </c>
      <c r="Z42" s="348" t="s">
        <v>621</v>
      </c>
      <c r="AA42" s="348" t="s">
        <v>621</v>
      </c>
      <c r="AB42" s="348" t="s">
        <v>621</v>
      </c>
      <c r="AC42" s="348" t="s">
        <v>621</v>
      </c>
      <c r="AD42" s="348" t="s">
        <v>621</v>
      </c>
      <c r="AE42" s="348" t="s">
        <v>621</v>
      </c>
      <c r="AF42" s="348" t="s">
        <v>621</v>
      </c>
      <c r="AG42" s="348" t="s">
        <v>621</v>
      </c>
      <c r="AH42" s="348" t="s">
        <v>621</v>
      </c>
      <c r="AI42" s="348" t="s">
        <v>621</v>
      </c>
      <c r="AJ42" s="348" t="s">
        <v>621</v>
      </c>
      <c r="AK42" s="348" t="s">
        <v>621</v>
      </c>
      <c r="AL42" s="348" t="s">
        <v>621</v>
      </c>
      <c r="AM42" s="348" t="s">
        <v>621</v>
      </c>
      <c r="AN42" s="348" t="s">
        <v>621</v>
      </c>
      <c r="AO42" s="348" t="s">
        <v>621</v>
      </c>
      <c r="AP42" s="348" t="s">
        <v>621</v>
      </c>
      <c r="AQ42" s="348" t="s">
        <v>621</v>
      </c>
      <c r="AR42" s="348" t="s">
        <v>621</v>
      </c>
      <c r="AS42" s="348" t="s">
        <v>621</v>
      </c>
    </row>
    <row r="43" spans="1:45" s="388" customFormat="1" ht="105" hidden="1" x14ac:dyDescent="0.25">
      <c r="A43" s="380" t="s">
        <v>580</v>
      </c>
      <c r="B43" s="381" t="s">
        <v>694</v>
      </c>
      <c r="C43" s="348" t="s">
        <v>621</v>
      </c>
      <c r="D43" s="348" t="s">
        <v>621</v>
      </c>
      <c r="E43" s="348" t="s">
        <v>621</v>
      </c>
      <c r="F43" s="348" t="s">
        <v>621</v>
      </c>
      <c r="G43" s="348" t="s">
        <v>621</v>
      </c>
      <c r="H43" s="348" t="s">
        <v>621</v>
      </c>
      <c r="I43" s="348" t="s">
        <v>621</v>
      </c>
      <c r="J43" s="348" t="s">
        <v>621</v>
      </c>
      <c r="K43" s="348" t="s">
        <v>621</v>
      </c>
      <c r="L43" s="348" t="s">
        <v>621</v>
      </c>
      <c r="M43" s="348" t="s">
        <v>621</v>
      </c>
      <c r="N43" s="348">
        <v>7.2039999999999997</v>
      </c>
      <c r="O43" s="348" t="s">
        <v>621</v>
      </c>
      <c r="P43" s="348" t="s">
        <v>621</v>
      </c>
      <c r="Q43" s="348" t="s">
        <v>621</v>
      </c>
      <c r="R43" s="348" t="s">
        <v>621</v>
      </c>
      <c r="S43" s="348" t="s">
        <v>621</v>
      </c>
      <c r="T43" s="348" t="s">
        <v>621</v>
      </c>
      <c r="U43" s="348" t="s">
        <v>621</v>
      </c>
      <c r="V43" s="348" t="s">
        <v>621</v>
      </c>
      <c r="W43" s="348" t="s">
        <v>621</v>
      </c>
      <c r="X43" s="348" t="s">
        <v>621</v>
      </c>
      <c r="Y43" s="348" t="s">
        <v>621</v>
      </c>
      <c r="Z43" s="348" t="s">
        <v>621</v>
      </c>
      <c r="AA43" s="348" t="s">
        <v>621</v>
      </c>
      <c r="AB43" s="348" t="s">
        <v>621</v>
      </c>
      <c r="AC43" s="348" t="s">
        <v>621</v>
      </c>
      <c r="AD43" s="348" t="s">
        <v>621</v>
      </c>
      <c r="AE43" s="348" t="s">
        <v>621</v>
      </c>
      <c r="AF43" s="348" t="s">
        <v>621</v>
      </c>
      <c r="AG43" s="348" t="s">
        <v>621</v>
      </c>
      <c r="AH43" s="348" t="s">
        <v>621</v>
      </c>
      <c r="AI43" s="348" t="s">
        <v>621</v>
      </c>
      <c r="AJ43" s="348" t="s">
        <v>621</v>
      </c>
      <c r="AK43" s="348" t="s">
        <v>621</v>
      </c>
      <c r="AL43" s="348" t="s">
        <v>621</v>
      </c>
      <c r="AM43" s="348" t="s">
        <v>621</v>
      </c>
      <c r="AN43" s="348" t="s">
        <v>621</v>
      </c>
      <c r="AO43" s="348" t="s">
        <v>621</v>
      </c>
      <c r="AP43" s="348" t="s">
        <v>621</v>
      </c>
      <c r="AQ43" s="348" t="s">
        <v>621</v>
      </c>
      <c r="AR43" s="348" t="s">
        <v>621</v>
      </c>
      <c r="AS43" s="348" t="s">
        <v>621</v>
      </c>
    </row>
    <row r="44" spans="1:45" s="388" customFormat="1" ht="24.75" hidden="1" customHeight="1" x14ac:dyDescent="0.25">
      <c r="A44" s="380" t="s">
        <v>581</v>
      </c>
      <c r="B44" s="382" t="s">
        <v>744</v>
      </c>
      <c r="C44" s="348" t="s">
        <v>621</v>
      </c>
      <c r="D44" s="348" t="s">
        <v>621</v>
      </c>
      <c r="E44" s="348" t="s">
        <v>621</v>
      </c>
      <c r="F44" s="348" t="s">
        <v>621</v>
      </c>
      <c r="G44" s="348" t="s">
        <v>621</v>
      </c>
      <c r="H44" s="348" t="s">
        <v>621</v>
      </c>
      <c r="I44" s="348" t="s">
        <v>621</v>
      </c>
      <c r="J44" s="348" t="s">
        <v>621</v>
      </c>
      <c r="K44" s="348" t="s">
        <v>621</v>
      </c>
      <c r="L44" s="348" t="s">
        <v>621</v>
      </c>
      <c r="M44" s="348" t="s">
        <v>621</v>
      </c>
      <c r="N44" s="348">
        <v>7.2039999999999997</v>
      </c>
      <c r="O44" s="348" t="s">
        <v>621</v>
      </c>
      <c r="P44" s="348" t="s">
        <v>621</v>
      </c>
      <c r="Q44" s="348" t="s">
        <v>621</v>
      </c>
      <c r="R44" s="348" t="s">
        <v>621</v>
      </c>
      <c r="S44" s="348" t="s">
        <v>621</v>
      </c>
      <c r="T44" s="348" t="s">
        <v>621</v>
      </c>
      <c r="U44" s="348" t="s">
        <v>621</v>
      </c>
      <c r="V44" s="348" t="s">
        <v>621</v>
      </c>
      <c r="W44" s="348" t="s">
        <v>621</v>
      </c>
      <c r="X44" s="348" t="s">
        <v>621</v>
      </c>
      <c r="Y44" s="348" t="s">
        <v>621</v>
      </c>
      <c r="Z44" s="348" t="s">
        <v>621</v>
      </c>
      <c r="AA44" s="348" t="s">
        <v>621</v>
      </c>
      <c r="AB44" s="348" t="s">
        <v>621</v>
      </c>
      <c r="AC44" s="348" t="s">
        <v>621</v>
      </c>
      <c r="AD44" s="348" t="s">
        <v>621</v>
      </c>
      <c r="AE44" s="348" t="s">
        <v>621</v>
      </c>
      <c r="AF44" s="348" t="s">
        <v>621</v>
      </c>
      <c r="AG44" s="348" t="s">
        <v>621</v>
      </c>
      <c r="AH44" s="348" t="s">
        <v>621</v>
      </c>
      <c r="AI44" s="348" t="s">
        <v>621</v>
      </c>
      <c r="AJ44" s="348" t="s">
        <v>621</v>
      </c>
      <c r="AK44" s="348" t="s">
        <v>621</v>
      </c>
      <c r="AL44" s="348" t="s">
        <v>621</v>
      </c>
      <c r="AM44" s="348" t="s">
        <v>621</v>
      </c>
      <c r="AN44" s="348" t="s">
        <v>621</v>
      </c>
      <c r="AO44" s="348" t="s">
        <v>621</v>
      </c>
      <c r="AP44" s="348" t="s">
        <v>621</v>
      </c>
      <c r="AQ44" s="348" t="s">
        <v>621</v>
      </c>
      <c r="AR44" s="348" t="s">
        <v>621</v>
      </c>
      <c r="AS44" s="348" t="s">
        <v>621</v>
      </c>
    </row>
    <row r="45" spans="1:45" s="388" customFormat="1" ht="62.25" customHeight="1" x14ac:dyDescent="0.25">
      <c r="A45" s="380" t="s">
        <v>539</v>
      </c>
      <c r="B45" s="381" t="s">
        <v>695</v>
      </c>
      <c r="C45" s="348" t="s">
        <v>621</v>
      </c>
      <c r="D45" s="348" t="s">
        <v>621</v>
      </c>
      <c r="E45" s="348" t="s">
        <v>621</v>
      </c>
      <c r="F45" s="348" t="s">
        <v>621</v>
      </c>
      <c r="G45" s="348" t="s">
        <v>621</v>
      </c>
      <c r="H45" s="348" t="s">
        <v>621</v>
      </c>
      <c r="I45" s="348" t="s">
        <v>621</v>
      </c>
      <c r="J45" s="348">
        <v>6.87</v>
      </c>
      <c r="K45" s="348" t="s">
        <v>621</v>
      </c>
      <c r="L45" s="348" t="s">
        <v>621</v>
      </c>
      <c r="M45" s="348" t="s">
        <v>621</v>
      </c>
      <c r="N45" s="348">
        <f>N49</f>
        <v>4.8949999999999996</v>
      </c>
      <c r="O45" s="348" t="s">
        <v>621</v>
      </c>
      <c r="P45" s="348" t="s">
        <v>621</v>
      </c>
      <c r="Q45" s="348" t="s">
        <v>621</v>
      </c>
      <c r="R45" s="348" t="s">
        <v>621</v>
      </c>
      <c r="S45" s="348" t="s">
        <v>621</v>
      </c>
      <c r="T45" s="348" t="s">
        <v>621</v>
      </c>
      <c r="U45" s="348" t="s">
        <v>621</v>
      </c>
      <c r="V45" s="348" t="s">
        <v>621</v>
      </c>
      <c r="W45" s="348" t="s">
        <v>621</v>
      </c>
      <c r="X45" s="348" t="s">
        <v>621</v>
      </c>
      <c r="Y45" s="348" t="s">
        <v>621</v>
      </c>
      <c r="Z45" s="348" t="s">
        <v>621</v>
      </c>
      <c r="AA45" s="348" t="s">
        <v>621</v>
      </c>
      <c r="AB45" s="348" t="s">
        <v>621</v>
      </c>
      <c r="AC45" s="348" t="s">
        <v>621</v>
      </c>
      <c r="AD45" s="348" t="s">
        <v>621</v>
      </c>
      <c r="AE45" s="348" t="s">
        <v>621</v>
      </c>
      <c r="AF45" s="348" t="s">
        <v>621</v>
      </c>
      <c r="AG45" s="348" t="s">
        <v>621</v>
      </c>
      <c r="AH45" s="348" t="s">
        <v>621</v>
      </c>
      <c r="AI45" s="348" t="s">
        <v>621</v>
      </c>
      <c r="AJ45" s="348" t="s">
        <v>621</v>
      </c>
      <c r="AK45" s="348" t="s">
        <v>621</v>
      </c>
      <c r="AL45" s="348" t="s">
        <v>621</v>
      </c>
      <c r="AM45" s="348" t="s">
        <v>621</v>
      </c>
      <c r="AN45" s="348" t="s">
        <v>621</v>
      </c>
      <c r="AO45" s="348" t="s">
        <v>621</v>
      </c>
      <c r="AP45" s="348" t="s">
        <v>621</v>
      </c>
      <c r="AQ45" s="348" t="s">
        <v>621</v>
      </c>
      <c r="AR45" s="348" t="s">
        <v>621</v>
      </c>
      <c r="AS45" s="348" t="s">
        <v>621</v>
      </c>
    </row>
    <row r="46" spans="1:45" s="388" customFormat="1" ht="24.75" hidden="1" customHeight="1" x14ac:dyDescent="0.25">
      <c r="A46" s="380" t="s">
        <v>544</v>
      </c>
      <c r="B46" s="381" t="s">
        <v>696</v>
      </c>
      <c r="C46" s="348" t="s">
        <v>621</v>
      </c>
      <c r="D46" s="348" t="s">
        <v>621</v>
      </c>
      <c r="E46" s="348" t="s">
        <v>621</v>
      </c>
      <c r="F46" s="348" t="s">
        <v>621</v>
      </c>
      <c r="G46" s="348" t="s">
        <v>621</v>
      </c>
      <c r="H46" s="348" t="s">
        <v>621</v>
      </c>
      <c r="I46" s="348" t="s">
        <v>621</v>
      </c>
      <c r="J46" s="348" t="s">
        <v>621</v>
      </c>
      <c r="K46" s="348" t="s">
        <v>621</v>
      </c>
      <c r="L46" s="348" t="s">
        <v>621</v>
      </c>
      <c r="M46" s="348" t="s">
        <v>621</v>
      </c>
      <c r="N46" s="348">
        <v>7.2039999999999997</v>
      </c>
      <c r="O46" s="348" t="s">
        <v>621</v>
      </c>
      <c r="P46" s="348" t="s">
        <v>621</v>
      </c>
      <c r="Q46" s="348" t="s">
        <v>621</v>
      </c>
      <c r="R46" s="348" t="s">
        <v>621</v>
      </c>
      <c r="S46" s="348" t="s">
        <v>621</v>
      </c>
      <c r="T46" s="348" t="s">
        <v>621</v>
      </c>
      <c r="U46" s="348" t="s">
        <v>621</v>
      </c>
      <c r="V46" s="348" t="s">
        <v>621</v>
      </c>
      <c r="W46" s="348" t="s">
        <v>621</v>
      </c>
      <c r="X46" s="348" t="s">
        <v>621</v>
      </c>
      <c r="Y46" s="348" t="s">
        <v>621</v>
      </c>
      <c r="Z46" s="348" t="s">
        <v>621</v>
      </c>
      <c r="AA46" s="348" t="s">
        <v>621</v>
      </c>
      <c r="AB46" s="348" t="s">
        <v>621</v>
      </c>
      <c r="AC46" s="348" t="s">
        <v>621</v>
      </c>
      <c r="AD46" s="348" t="s">
        <v>621</v>
      </c>
      <c r="AE46" s="348" t="s">
        <v>621</v>
      </c>
      <c r="AF46" s="348" t="s">
        <v>621</v>
      </c>
      <c r="AG46" s="348" t="s">
        <v>621</v>
      </c>
      <c r="AH46" s="348" t="s">
        <v>621</v>
      </c>
      <c r="AI46" s="348" t="s">
        <v>621</v>
      </c>
      <c r="AJ46" s="348" t="s">
        <v>621</v>
      </c>
      <c r="AK46" s="348" t="s">
        <v>621</v>
      </c>
      <c r="AL46" s="348" t="s">
        <v>621</v>
      </c>
      <c r="AM46" s="348" t="s">
        <v>621</v>
      </c>
      <c r="AN46" s="348" t="s">
        <v>621</v>
      </c>
      <c r="AO46" s="348" t="s">
        <v>621</v>
      </c>
      <c r="AP46" s="348" t="s">
        <v>621</v>
      </c>
      <c r="AQ46" s="348" t="s">
        <v>621</v>
      </c>
      <c r="AR46" s="348" t="s">
        <v>621</v>
      </c>
      <c r="AS46" s="348" t="s">
        <v>621</v>
      </c>
    </row>
    <row r="47" spans="1:45" s="388" customFormat="1" ht="78.75" hidden="1" x14ac:dyDescent="0.25">
      <c r="A47" s="380" t="s">
        <v>591</v>
      </c>
      <c r="B47" s="381" t="s">
        <v>745</v>
      </c>
      <c r="C47" s="348" t="s">
        <v>621</v>
      </c>
      <c r="D47" s="348" t="s">
        <v>621</v>
      </c>
      <c r="E47" s="348" t="s">
        <v>621</v>
      </c>
      <c r="F47" s="348" t="s">
        <v>621</v>
      </c>
      <c r="G47" s="348" t="s">
        <v>621</v>
      </c>
      <c r="H47" s="348" t="s">
        <v>621</v>
      </c>
      <c r="I47" s="348" t="s">
        <v>621</v>
      </c>
      <c r="J47" s="348" t="s">
        <v>621</v>
      </c>
      <c r="K47" s="348" t="s">
        <v>621</v>
      </c>
      <c r="L47" s="348" t="s">
        <v>621</v>
      </c>
      <c r="M47" s="348" t="s">
        <v>621</v>
      </c>
      <c r="N47" s="348">
        <v>7.2039999999999997</v>
      </c>
      <c r="O47" s="348" t="s">
        <v>621</v>
      </c>
      <c r="P47" s="348" t="s">
        <v>621</v>
      </c>
      <c r="Q47" s="348" t="s">
        <v>621</v>
      </c>
      <c r="R47" s="348" t="s">
        <v>621</v>
      </c>
      <c r="S47" s="348" t="s">
        <v>621</v>
      </c>
      <c r="T47" s="348" t="s">
        <v>621</v>
      </c>
      <c r="U47" s="348" t="s">
        <v>621</v>
      </c>
      <c r="V47" s="348" t="s">
        <v>621</v>
      </c>
      <c r="W47" s="348" t="s">
        <v>621</v>
      </c>
      <c r="X47" s="348" t="s">
        <v>621</v>
      </c>
      <c r="Y47" s="348" t="s">
        <v>621</v>
      </c>
      <c r="Z47" s="348" t="s">
        <v>621</v>
      </c>
      <c r="AA47" s="348" t="s">
        <v>621</v>
      </c>
      <c r="AB47" s="348" t="s">
        <v>621</v>
      </c>
      <c r="AC47" s="348" t="s">
        <v>621</v>
      </c>
      <c r="AD47" s="348" t="s">
        <v>621</v>
      </c>
      <c r="AE47" s="348" t="s">
        <v>621</v>
      </c>
      <c r="AF47" s="348" t="s">
        <v>621</v>
      </c>
      <c r="AG47" s="348" t="s">
        <v>621</v>
      </c>
      <c r="AH47" s="348" t="s">
        <v>621</v>
      </c>
      <c r="AI47" s="348" t="s">
        <v>621</v>
      </c>
      <c r="AJ47" s="348" t="s">
        <v>621</v>
      </c>
      <c r="AK47" s="348" t="s">
        <v>621</v>
      </c>
      <c r="AL47" s="348" t="s">
        <v>621</v>
      </c>
      <c r="AM47" s="348" t="s">
        <v>621</v>
      </c>
      <c r="AN47" s="348" t="s">
        <v>621</v>
      </c>
      <c r="AO47" s="348" t="s">
        <v>621</v>
      </c>
      <c r="AP47" s="348" t="s">
        <v>621</v>
      </c>
      <c r="AQ47" s="348" t="s">
        <v>621</v>
      </c>
      <c r="AR47" s="348" t="s">
        <v>621</v>
      </c>
      <c r="AS47" s="348" t="s">
        <v>621</v>
      </c>
    </row>
    <row r="48" spans="1:45" s="388" customFormat="1" ht="78.75" hidden="1" x14ac:dyDescent="0.25">
      <c r="A48" s="380" t="s">
        <v>592</v>
      </c>
      <c r="B48" s="381" t="s">
        <v>737</v>
      </c>
      <c r="C48" s="348" t="s">
        <v>621</v>
      </c>
      <c r="D48" s="348" t="s">
        <v>621</v>
      </c>
      <c r="E48" s="348" t="s">
        <v>621</v>
      </c>
      <c r="F48" s="348" t="s">
        <v>621</v>
      </c>
      <c r="G48" s="348" t="s">
        <v>621</v>
      </c>
      <c r="H48" s="348" t="s">
        <v>621</v>
      </c>
      <c r="I48" s="348" t="s">
        <v>621</v>
      </c>
      <c r="J48" s="348" t="s">
        <v>621</v>
      </c>
      <c r="K48" s="348" t="s">
        <v>621</v>
      </c>
      <c r="L48" s="348" t="s">
        <v>621</v>
      </c>
      <c r="M48" s="348" t="s">
        <v>621</v>
      </c>
      <c r="N48" s="348">
        <v>7.2039999999999997</v>
      </c>
      <c r="O48" s="348" t="s">
        <v>621</v>
      </c>
      <c r="P48" s="348" t="s">
        <v>621</v>
      </c>
      <c r="Q48" s="348" t="s">
        <v>621</v>
      </c>
      <c r="R48" s="348" t="s">
        <v>621</v>
      </c>
      <c r="S48" s="348" t="s">
        <v>621</v>
      </c>
      <c r="T48" s="348" t="s">
        <v>621</v>
      </c>
      <c r="U48" s="348" t="s">
        <v>621</v>
      </c>
      <c r="V48" s="348" t="s">
        <v>621</v>
      </c>
      <c r="W48" s="348" t="s">
        <v>621</v>
      </c>
      <c r="X48" s="348" t="s">
        <v>621</v>
      </c>
      <c r="Y48" s="348" t="s">
        <v>621</v>
      </c>
      <c r="Z48" s="348" t="s">
        <v>621</v>
      </c>
      <c r="AA48" s="348" t="s">
        <v>621</v>
      </c>
      <c r="AB48" s="348" t="s">
        <v>621</v>
      </c>
      <c r="AC48" s="348" t="s">
        <v>621</v>
      </c>
      <c r="AD48" s="348" t="s">
        <v>621</v>
      </c>
      <c r="AE48" s="348" t="s">
        <v>621</v>
      </c>
      <c r="AF48" s="348" t="s">
        <v>621</v>
      </c>
      <c r="AG48" s="348" t="s">
        <v>621</v>
      </c>
      <c r="AH48" s="348" t="s">
        <v>621</v>
      </c>
      <c r="AI48" s="348" t="s">
        <v>621</v>
      </c>
      <c r="AJ48" s="348" t="s">
        <v>621</v>
      </c>
      <c r="AK48" s="348" t="s">
        <v>621</v>
      </c>
      <c r="AL48" s="348" t="s">
        <v>621</v>
      </c>
      <c r="AM48" s="348" t="s">
        <v>621</v>
      </c>
      <c r="AN48" s="348" t="s">
        <v>621</v>
      </c>
      <c r="AO48" s="348" t="s">
        <v>621</v>
      </c>
      <c r="AP48" s="348" t="s">
        <v>621</v>
      </c>
      <c r="AQ48" s="348" t="s">
        <v>621</v>
      </c>
      <c r="AR48" s="348" t="s">
        <v>621</v>
      </c>
      <c r="AS48" s="348" t="s">
        <v>621</v>
      </c>
    </row>
    <row r="49" spans="1:45" s="388" customFormat="1" ht="78.75" customHeight="1" x14ac:dyDescent="0.25">
      <c r="A49" s="386" t="s">
        <v>545</v>
      </c>
      <c r="B49" s="387" t="s">
        <v>697</v>
      </c>
      <c r="C49" s="299" t="s">
        <v>621</v>
      </c>
      <c r="D49" s="299" t="s">
        <v>621</v>
      </c>
      <c r="E49" s="299" t="s">
        <v>621</v>
      </c>
      <c r="F49" s="299" t="s">
        <v>621</v>
      </c>
      <c r="G49" s="299" t="s">
        <v>621</v>
      </c>
      <c r="H49" s="299" t="s">
        <v>621</v>
      </c>
      <c r="I49" s="299" t="s">
        <v>621</v>
      </c>
      <c r="J49" s="299" t="s">
        <v>621</v>
      </c>
      <c r="K49" s="299" t="s">
        <v>621</v>
      </c>
      <c r="L49" s="299" t="s">
        <v>621</v>
      </c>
      <c r="M49" s="299" t="s">
        <v>621</v>
      </c>
      <c r="N49" s="299">
        <f>N50</f>
        <v>4.8949999999999996</v>
      </c>
      <c r="O49" s="299" t="s">
        <v>621</v>
      </c>
      <c r="P49" s="299" t="s">
        <v>621</v>
      </c>
      <c r="Q49" s="299" t="s">
        <v>621</v>
      </c>
      <c r="R49" s="299" t="s">
        <v>621</v>
      </c>
      <c r="S49" s="299" t="s">
        <v>621</v>
      </c>
      <c r="T49" s="299" t="s">
        <v>621</v>
      </c>
      <c r="U49" s="299" t="s">
        <v>621</v>
      </c>
      <c r="V49" s="299" t="s">
        <v>621</v>
      </c>
      <c r="W49" s="299" t="s">
        <v>621</v>
      </c>
      <c r="X49" s="299" t="s">
        <v>621</v>
      </c>
      <c r="Y49" s="299" t="s">
        <v>621</v>
      </c>
      <c r="Z49" s="299" t="s">
        <v>621</v>
      </c>
      <c r="AA49" s="299" t="s">
        <v>621</v>
      </c>
      <c r="AB49" s="299" t="s">
        <v>621</v>
      </c>
      <c r="AC49" s="299" t="s">
        <v>621</v>
      </c>
      <c r="AD49" s="299" t="s">
        <v>621</v>
      </c>
      <c r="AE49" s="299" t="s">
        <v>621</v>
      </c>
      <c r="AF49" s="299" t="s">
        <v>621</v>
      </c>
      <c r="AG49" s="299" t="s">
        <v>621</v>
      </c>
      <c r="AH49" s="299" t="s">
        <v>621</v>
      </c>
      <c r="AI49" s="299" t="s">
        <v>621</v>
      </c>
      <c r="AJ49" s="299" t="s">
        <v>621</v>
      </c>
      <c r="AK49" s="299" t="s">
        <v>621</v>
      </c>
      <c r="AL49" s="299" t="s">
        <v>621</v>
      </c>
      <c r="AM49" s="299" t="s">
        <v>621</v>
      </c>
      <c r="AN49" s="299" t="s">
        <v>621</v>
      </c>
      <c r="AO49" s="299" t="s">
        <v>621</v>
      </c>
      <c r="AP49" s="299" t="s">
        <v>621</v>
      </c>
      <c r="AQ49" s="299" t="s">
        <v>621</v>
      </c>
      <c r="AR49" s="299" t="s">
        <v>621</v>
      </c>
      <c r="AS49" s="299" t="s">
        <v>621</v>
      </c>
    </row>
    <row r="50" spans="1:45" s="388" customFormat="1" ht="61.5" customHeight="1" x14ac:dyDescent="0.25">
      <c r="A50" s="386" t="s">
        <v>595</v>
      </c>
      <c r="B50" s="387" t="s">
        <v>746</v>
      </c>
      <c r="C50" s="299" t="s">
        <v>621</v>
      </c>
      <c r="D50" s="299" t="s">
        <v>621</v>
      </c>
      <c r="E50" s="299" t="s">
        <v>621</v>
      </c>
      <c r="F50" s="299" t="s">
        <v>621</v>
      </c>
      <c r="G50" s="299" t="s">
        <v>621</v>
      </c>
      <c r="H50" s="299" t="s">
        <v>621</v>
      </c>
      <c r="I50" s="299" t="s">
        <v>621</v>
      </c>
      <c r="J50" s="299" t="s">
        <v>621</v>
      </c>
      <c r="K50" s="299" t="s">
        <v>621</v>
      </c>
      <c r="L50" s="299" t="s">
        <v>621</v>
      </c>
      <c r="M50" s="299" t="s">
        <v>621</v>
      </c>
      <c r="N50" s="299">
        <f>N51</f>
        <v>4.8949999999999996</v>
      </c>
      <c r="O50" s="299" t="s">
        <v>621</v>
      </c>
      <c r="P50" s="299" t="s">
        <v>621</v>
      </c>
      <c r="Q50" s="299" t="s">
        <v>621</v>
      </c>
      <c r="R50" s="299" t="s">
        <v>621</v>
      </c>
      <c r="S50" s="299" t="s">
        <v>621</v>
      </c>
      <c r="T50" s="299" t="s">
        <v>621</v>
      </c>
      <c r="U50" s="299" t="s">
        <v>621</v>
      </c>
      <c r="V50" s="299" t="s">
        <v>621</v>
      </c>
      <c r="W50" s="299" t="s">
        <v>621</v>
      </c>
      <c r="X50" s="299" t="s">
        <v>621</v>
      </c>
      <c r="Y50" s="299" t="s">
        <v>621</v>
      </c>
      <c r="Z50" s="299" t="s">
        <v>621</v>
      </c>
      <c r="AA50" s="299" t="s">
        <v>621</v>
      </c>
      <c r="AB50" s="299" t="s">
        <v>621</v>
      </c>
      <c r="AC50" s="299" t="s">
        <v>621</v>
      </c>
      <c r="AD50" s="299" t="s">
        <v>621</v>
      </c>
      <c r="AE50" s="299" t="s">
        <v>621</v>
      </c>
      <c r="AF50" s="299" t="s">
        <v>621</v>
      </c>
      <c r="AG50" s="299" t="s">
        <v>621</v>
      </c>
      <c r="AH50" s="299" t="s">
        <v>621</v>
      </c>
      <c r="AI50" s="299" t="s">
        <v>621</v>
      </c>
      <c r="AJ50" s="299" t="s">
        <v>621</v>
      </c>
      <c r="AK50" s="299" t="s">
        <v>621</v>
      </c>
      <c r="AL50" s="299" t="s">
        <v>621</v>
      </c>
      <c r="AM50" s="299" t="s">
        <v>621</v>
      </c>
      <c r="AN50" s="299" t="s">
        <v>621</v>
      </c>
      <c r="AO50" s="299" t="s">
        <v>621</v>
      </c>
      <c r="AP50" s="299" t="s">
        <v>621</v>
      </c>
      <c r="AQ50" s="299" t="s">
        <v>621</v>
      </c>
      <c r="AR50" s="299" t="s">
        <v>621</v>
      </c>
      <c r="AS50" s="299" t="s">
        <v>621</v>
      </c>
    </row>
    <row r="51" spans="1:45" s="388" customFormat="1" ht="180" customHeight="1" x14ac:dyDescent="0.25">
      <c r="A51" s="380" t="s">
        <v>869</v>
      </c>
      <c r="B51" s="381" t="s">
        <v>876</v>
      </c>
      <c r="C51" s="348" t="str">
        <f>CONCATENATE("J","_",2023,"_",A51)</f>
        <v>J_2023_1.2.2.1.9</v>
      </c>
      <c r="D51" s="348" t="s">
        <v>621</v>
      </c>
      <c r="E51" s="348" t="s">
        <v>621</v>
      </c>
      <c r="F51" s="348" t="s">
        <v>621</v>
      </c>
      <c r="G51" s="348" t="s">
        <v>621</v>
      </c>
      <c r="H51" s="348" t="s">
        <v>621</v>
      </c>
      <c r="I51" s="348" t="s">
        <v>621</v>
      </c>
      <c r="J51" s="348" t="s">
        <v>621</v>
      </c>
      <c r="K51" s="348" t="s">
        <v>621</v>
      </c>
      <c r="L51" s="348" t="s">
        <v>621</v>
      </c>
      <c r="M51" s="348" t="s">
        <v>621</v>
      </c>
      <c r="N51" s="348">
        <v>4.8949999999999996</v>
      </c>
      <c r="O51" s="348" t="s">
        <v>621</v>
      </c>
      <c r="P51" s="348" t="s">
        <v>621</v>
      </c>
      <c r="Q51" s="348" t="s">
        <v>621</v>
      </c>
      <c r="R51" s="348" t="s">
        <v>621</v>
      </c>
      <c r="S51" s="348" t="s">
        <v>621</v>
      </c>
      <c r="T51" s="348" t="s">
        <v>621</v>
      </c>
      <c r="U51" s="348" t="s">
        <v>621</v>
      </c>
      <c r="V51" s="348" t="s">
        <v>621</v>
      </c>
      <c r="W51" s="348" t="s">
        <v>621</v>
      </c>
      <c r="X51" s="348" t="s">
        <v>621</v>
      </c>
      <c r="Y51" s="348" t="s">
        <v>621</v>
      </c>
      <c r="Z51" s="348" t="s">
        <v>621</v>
      </c>
      <c r="AA51" s="348" t="s">
        <v>621</v>
      </c>
      <c r="AB51" s="348" t="s">
        <v>621</v>
      </c>
      <c r="AC51" s="348" t="s">
        <v>621</v>
      </c>
      <c r="AD51" s="348" t="s">
        <v>621</v>
      </c>
      <c r="AE51" s="348" t="s">
        <v>621</v>
      </c>
      <c r="AF51" s="348" t="s">
        <v>621</v>
      </c>
      <c r="AG51" s="348" t="s">
        <v>621</v>
      </c>
      <c r="AH51" s="348" t="s">
        <v>621</v>
      </c>
      <c r="AI51" s="348" t="s">
        <v>621</v>
      </c>
      <c r="AJ51" s="348" t="s">
        <v>621</v>
      </c>
      <c r="AK51" s="348" t="s">
        <v>621</v>
      </c>
      <c r="AL51" s="348" t="s">
        <v>621</v>
      </c>
      <c r="AM51" s="348" t="s">
        <v>621</v>
      </c>
      <c r="AN51" s="348" t="s">
        <v>621</v>
      </c>
      <c r="AO51" s="348" t="s">
        <v>621</v>
      </c>
      <c r="AP51" s="348" t="s">
        <v>621</v>
      </c>
      <c r="AQ51" s="348" t="s">
        <v>621</v>
      </c>
      <c r="AR51" s="348" t="s">
        <v>621</v>
      </c>
      <c r="AS51" s="348" t="s">
        <v>621</v>
      </c>
    </row>
    <row r="52" spans="1:45" s="388" customFormat="1" ht="52.5" hidden="1" x14ac:dyDescent="0.25">
      <c r="A52" s="386" t="s">
        <v>596</v>
      </c>
      <c r="B52" s="387" t="s">
        <v>738</v>
      </c>
      <c r="C52" s="299" t="s">
        <v>621</v>
      </c>
      <c r="D52" s="299" t="s">
        <v>621</v>
      </c>
      <c r="E52" s="299" t="s">
        <v>621</v>
      </c>
      <c r="F52" s="299" t="s">
        <v>621</v>
      </c>
      <c r="G52" s="299" t="s">
        <v>621</v>
      </c>
      <c r="H52" s="299" t="s">
        <v>621</v>
      </c>
      <c r="I52" s="299" t="s">
        <v>621</v>
      </c>
      <c r="J52" s="299" t="s">
        <v>621</v>
      </c>
      <c r="K52" s="299" t="s">
        <v>621</v>
      </c>
      <c r="L52" s="299" t="s">
        <v>621</v>
      </c>
      <c r="M52" s="299" t="s">
        <v>621</v>
      </c>
      <c r="N52" s="299" t="s">
        <v>621</v>
      </c>
      <c r="O52" s="299" t="s">
        <v>621</v>
      </c>
      <c r="P52" s="299" t="s">
        <v>621</v>
      </c>
      <c r="Q52" s="299" t="s">
        <v>621</v>
      </c>
      <c r="R52" s="299" t="s">
        <v>621</v>
      </c>
      <c r="S52" s="299" t="s">
        <v>621</v>
      </c>
      <c r="T52" s="299" t="s">
        <v>621</v>
      </c>
      <c r="U52" s="299" t="s">
        <v>621</v>
      </c>
      <c r="V52" s="299" t="s">
        <v>621</v>
      </c>
      <c r="W52" s="299" t="s">
        <v>621</v>
      </c>
      <c r="X52" s="299" t="s">
        <v>621</v>
      </c>
      <c r="Y52" s="299" t="s">
        <v>621</v>
      </c>
      <c r="Z52" s="299" t="s">
        <v>621</v>
      </c>
      <c r="AA52" s="299" t="s">
        <v>621</v>
      </c>
      <c r="AB52" s="299" t="s">
        <v>621</v>
      </c>
      <c r="AC52" s="299" t="s">
        <v>621</v>
      </c>
      <c r="AD52" s="299" t="s">
        <v>621</v>
      </c>
      <c r="AE52" s="299" t="s">
        <v>621</v>
      </c>
      <c r="AF52" s="299" t="s">
        <v>621</v>
      </c>
      <c r="AG52" s="299" t="s">
        <v>621</v>
      </c>
      <c r="AH52" s="299" t="s">
        <v>621</v>
      </c>
      <c r="AI52" s="299" t="s">
        <v>621</v>
      </c>
      <c r="AJ52" s="299" t="s">
        <v>621</v>
      </c>
      <c r="AK52" s="299" t="s">
        <v>621</v>
      </c>
      <c r="AL52" s="299" t="s">
        <v>621</v>
      </c>
      <c r="AM52" s="299" t="s">
        <v>621</v>
      </c>
      <c r="AN52" s="299" t="s">
        <v>621</v>
      </c>
      <c r="AO52" s="299" t="s">
        <v>621</v>
      </c>
      <c r="AP52" s="299" t="s">
        <v>621</v>
      </c>
      <c r="AQ52" s="299" t="s">
        <v>621</v>
      </c>
      <c r="AR52" s="299" t="s">
        <v>621</v>
      </c>
      <c r="AS52" s="299" t="s">
        <v>621</v>
      </c>
    </row>
    <row r="53" spans="1:45" s="374" customFormat="1" ht="52.5" x14ac:dyDescent="0.4">
      <c r="A53" s="543" t="s">
        <v>546</v>
      </c>
      <c r="B53" s="544" t="s">
        <v>739</v>
      </c>
      <c r="C53" s="708" t="s">
        <v>621</v>
      </c>
      <c r="D53" s="708" t="s">
        <v>621</v>
      </c>
      <c r="E53" s="708" t="s">
        <v>621</v>
      </c>
      <c r="F53" s="708" t="s">
        <v>621</v>
      </c>
      <c r="G53" s="708" t="s">
        <v>621</v>
      </c>
      <c r="H53" s="708" t="s">
        <v>621</v>
      </c>
      <c r="I53" s="708" t="s">
        <v>621</v>
      </c>
      <c r="J53" s="708" t="s">
        <v>621</v>
      </c>
      <c r="K53" s="708" t="s">
        <v>621</v>
      </c>
      <c r="L53" s="708" t="s">
        <v>621</v>
      </c>
      <c r="M53" s="708" t="s">
        <v>621</v>
      </c>
      <c r="N53" s="708" t="s">
        <v>621</v>
      </c>
      <c r="O53" s="708" t="s">
        <v>621</v>
      </c>
      <c r="P53" s="708" t="s">
        <v>621</v>
      </c>
      <c r="Q53" s="708" t="s">
        <v>621</v>
      </c>
      <c r="R53" s="708" t="s">
        <v>621</v>
      </c>
      <c r="S53" s="708" t="s">
        <v>621</v>
      </c>
      <c r="T53" s="708">
        <v>2941</v>
      </c>
      <c r="U53" s="708" t="s">
        <v>621</v>
      </c>
      <c r="V53" s="708" t="s">
        <v>621</v>
      </c>
      <c r="W53" s="708" t="s">
        <v>621</v>
      </c>
      <c r="X53" s="708" t="s">
        <v>621</v>
      </c>
      <c r="Y53" s="708" t="s">
        <v>621</v>
      </c>
      <c r="Z53" s="708" t="s">
        <v>621</v>
      </c>
      <c r="AA53" s="708" t="s">
        <v>621</v>
      </c>
      <c r="AB53" s="708" t="s">
        <v>621</v>
      </c>
      <c r="AC53" s="708" t="s">
        <v>621</v>
      </c>
      <c r="AD53" s="708" t="s">
        <v>621</v>
      </c>
      <c r="AE53" s="708" t="s">
        <v>621</v>
      </c>
      <c r="AF53" s="708" t="s">
        <v>621</v>
      </c>
      <c r="AG53" s="708" t="s">
        <v>621</v>
      </c>
      <c r="AH53" s="708" t="s">
        <v>621</v>
      </c>
      <c r="AI53" s="708" t="s">
        <v>621</v>
      </c>
      <c r="AJ53" s="708" t="s">
        <v>621</v>
      </c>
      <c r="AK53" s="708" t="s">
        <v>621</v>
      </c>
      <c r="AL53" s="708" t="s">
        <v>621</v>
      </c>
      <c r="AM53" s="708" t="s">
        <v>621</v>
      </c>
      <c r="AN53" s="708" t="s">
        <v>621</v>
      </c>
      <c r="AO53" s="708" t="s">
        <v>621</v>
      </c>
      <c r="AP53" s="708" t="s">
        <v>621</v>
      </c>
      <c r="AQ53" s="708" t="s">
        <v>621</v>
      </c>
      <c r="AR53" s="708" t="s">
        <v>621</v>
      </c>
      <c r="AS53" s="708" t="s">
        <v>621</v>
      </c>
    </row>
    <row r="54" spans="1:45" s="374" customFormat="1" ht="52.5" x14ac:dyDescent="0.4">
      <c r="A54" s="380" t="s">
        <v>599</v>
      </c>
      <c r="B54" s="381" t="s">
        <v>740</v>
      </c>
      <c r="C54" s="667" t="str">
        <f>CONCATENATE("J","_",2023,"_",A54)</f>
        <v>J_2023_1.2.3.1</v>
      </c>
      <c r="D54" s="667" t="s">
        <v>621</v>
      </c>
      <c r="E54" s="667" t="s">
        <v>621</v>
      </c>
      <c r="F54" s="667" t="s">
        <v>621</v>
      </c>
      <c r="G54" s="667" t="s">
        <v>621</v>
      </c>
      <c r="H54" s="667" t="s">
        <v>621</v>
      </c>
      <c r="I54" s="667" t="s">
        <v>621</v>
      </c>
      <c r="J54" s="667" t="s">
        <v>621</v>
      </c>
      <c r="K54" s="667" t="s">
        <v>621</v>
      </c>
      <c r="L54" s="667" t="s">
        <v>621</v>
      </c>
      <c r="M54" s="667" t="s">
        <v>621</v>
      </c>
      <c r="N54" s="667" t="s">
        <v>621</v>
      </c>
      <c r="O54" s="667" t="s">
        <v>621</v>
      </c>
      <c r="P54" s="667" t="s">
        <v>621</v>
      </c>
      <c r="Q54" s="667" t="s">
        <v>621</v>
      </c>
      <c r="R54" s="667" t="s">
        <v>621</v>
      </c>
      <c r="S54" s="667" t="s">
        <v>621</v>
      </c>
      <c r="T54" s="667">
        <v>2941</v>
      </c>
      <c r="U54" s="667" t="s">
        <v>621</v>
      </c>
      <c r="V54" s="667" t="s">
        <v>621</v>
      </c>
      <c r="W54" s="667" t="s">
        <v>621</v>
      </c>
      <c r="X54" s="667" t="s">
        <v>621</v>
      </c>
      <c r="Y54" s="667" t="s">
        <v>621</v>
      </c>
      <c r="Z54" s="667" t="s">
        <v>621</v>
      </c>
      <c r="AA54" s="667" t="s">
        <v>621</v>
      </c>
      <c r="AB54" s="667" t="s">
        <v>621</v>
      </c>
      <c r="AC54" s="667" t="s">
        <v>621</v>
      </c>
      <c r="AD54" s="667" t="s">
        <v>621</v>
      </c>
      <c r="AE54" s="667" t="s">
        <v>621</v>
      </c>
      <c r="AF54" s="667" t="s">
        <v>621</v>
      </c>
      <c r="AG54" s="667" t="s">
        <v>621</v>
      </c>
      <c r="AH54" s="667" t="s">
        <v>621</v>
      </c>
      <c r="AI54" s="667" t="s">
        <v>621</v>
      </c>
      <c r="AJ54" s="667" t="s">
        <v>621</v>
      </c>
      <c r="AK54" s="667" t="s">
        <v>621</v>
      </c>
      <c r="AL54" s="667" t="s">
        <v>621</v>
      </c>
      <c r="AM54" s="667" t="s">
        <v>621</v>
      </c>
      <c r="AN54" s="667" t="s">
        <v>621</v>
      </c>
      <c r="AO54" s="667" t="s">
        <v>621</v>
      </c>
      <c r="AP54" s="667" t="s">
        <v>621</v>
      </c>
      <c r="AQ54" s="667" t="s">
        <v>621</v>
      </c>
      <c r="AR54" s="667" t="s">
        <v>621</v>
      </c>
      <c r="AS54" s="667" t="s">
        <v>621</v>
      </c>
    </row>
    <row r="55" spans="1:45" s="374" customFormat="1" ht="52.5" hidden="1" x14ac:dyDescent="0.4">
      <c r="A55" s="380" t="s">
        <v>600</v>
      </c>
      <c r="B55" s="381" t="s">
        <v>698</v>
      </c>
      <c r="C55" s="667" t="str">
        <f t="shared" ref="C55:C62" si="0">CONCATENATE("J","_",2023,"_",A55)</f>
        <v>J_2023_1.2.3.2</v>
      </c>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row>
    <row r="56" spans="1:45" s="374" customFormat="1" ht="52.5" hidden="1" x14ac:dyDescent="0.4">
      <c r="A56" s="380" t="s">
        <v>601</v>
      </c>
      <c r="B56" s="381" t="s">
        <v>699</v>
      </c>
      <c r="C56" s="667" t="str">
        <f t="shared" si="0"/>
        <v>J_2023_1.2.3.3</v>
      </c>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row>
    <row r="57" spans="1:45" s="374" customFormat="1" ht="52.5" hidden="1" x14ac:dyDescent="0.4">
      <c r="A57" s="380" t="s">
        <v>602</v>
      </c>
      <c r="B57" s="381" t="s">
        <v>700</v>
      </c>
      <c r="C57" s="667" t="str">
        <f t="shared" si="0"/>
        <v>J_2023_1.2.3.4</v>
      </c>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row>
    <row r="58" spans="1:45" s="374" customFormat="1" ht="78.75" hidden="1" x14ac:dyDescent="0.4">
      <c r="A58" s="380" t="s">
        <v>718</v>
      </c>
      <c r="B58" s="381" t="s">
        <v>701</v>
      </c>
      <c r="C58" s="667" t="str">
        <f t="shared" si="0"/>
        <v>J_2023_1.2.3.5</v>
      </c>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row>
    <row r="59" spans="1:45" s="374" customFormat="1" ht="78.75" hidden="1" x14ac:dyDescent="0.4">
      <c r="A59" s="380" t="s">
        <v>719</v>
      </c>
      <c r="B59" s="381" t="s">
        <v>702</v>
      </c>
      <c r="C59" s="667" t="str">
        <f t="shared" si="0"/>
        <v>J_2023_1.2.3.6</v>
      </c>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row>
    <row r="60" spans="1:45" s="374" customFormat="1" ht="78.75" hidden="1" x14ac:dyDescent="0.4">
      <c r="A60" s="380" t="s">
        <v>720</v>
      </c>
      <c r="B60" s="381" t="s">
        <v>703</v>
      </c>
      <c r="C60" s="667" t="str">
        <f t="shared" si="0"/>
        <v>J_2023_1.2.3.7</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row>
    <row r="61" spans="1:45" s="374" customFormat="1" ht="78.75" hidden="1" x14ac:dyDescent="0.4">
      <c r="A61" s="380" t="s">
        <v>721</v>
      </c>
      <c r="B61" s="381" t="s">
        <v>704</v>
      </c>
      <c r="C61" s="667" t="str">
        <f t="shared" si="0"/>
        <v>J_2023_1.2.3.8</v>
      </c>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row>
    <row r="62" spans="1:45" s="374" customFormat="1" ht="52.5" x14ac:dyDescent="0.4">
      <c r="A62" s="702" t="s">
        <v>947</v>
      </c>
      <c r="B62" s="958" t="s">
        <v>948</v>
      </c>
      <c r="C62" s="667" t="str">
        <f t="shared" si="0"/>
        <v>J_2023_1.2.3.1.1</v>
      </c>
      <c r="D62" s="667" t="s">
        <v>621</v>
      </c>
      <c r="E62" s="667" t="s">
        <v>621</v>
      </c>
      <c r="F62" s="667" t="s">
        <v>621</v>
      </c>
      <c r="G62" s="667" t="s">
        <v>621</v>
      </c>
      <c r="H62" s="667" t="s">
        <v>621</v>
      </c>
      <c r="I62" s="667" t="s">
        <v>621</v>
      </c>
      <c r="J62" s="667" t="s">
        <v>621</v>
      </c>
      <c r="K62" s="667" t="s">
        <v>621</v>
      </c>
      <c r="L62" s="667" t="s">
        <v>621</v>
      </c>
      <c r="M62" s="667" t="s">
        <v>621</v>
      </c>
      <c r="N62" s="667" t="s">
        <v>621</v>
      </c>
      <c r="O62" s="667" t="s">
        <v>621</v>
      </c>
      <c r="P62" s="667" t="s">
        <v>621</v>
      </c>
      <c r="Q62" s="667" t="s">
        <v>621</v>
      </c>
      <c r="R62" s="667" t="s">
        <v>621</v>
      </c>
      <c r="S62" s="667" t="s">
        <v>621</v>
      </c>
      <c r="T62" s="667">
        <v>2941</v>
      </c>
      <c r="U62" s="667" t="s">
        <v>621</v>
      </c>
      <c r="V62" s="667" t="s">
        <v>621</v>
      </c>
      <c r="W62" s="667" t="s">
        <v>621</v>
      </c>
      <c r="X62" s="667" t="s">
        <v>621</v>
      </c>
      <c r="Y62" s="667" t="s">
        <v>621</v>
      </c>
      <c r="Z62" s="667" t="s">
        <v>621</v>
      </c>
      <c r="AA62" s="667" t="s">
        <v>621</v>
      </c>
      <c r="AB62" s="667" t="s">
        <v>621</v>
      </c>
      <c r="AC62" s="667" t="s">
        <v>621</v>
      </c>
      <c r="AD62" s="667" t="s">
        <v>621</v>
      </c>
      <c r="AE62" s="667" t="s">
        <v>621</v>
      </c>
      <c r="AF62" s="667" t="s">
        <v>621</v>
      </c>
      <c r="AG62" s="667" t="s">
        <v>621</v>
      </c>
      <c r="AH62" s="667" t="s">
        <v>621</v>
      </c>
      <c r="AI62" s="667" t="s">
        <v>621</v>
      </c>
      <c r="AJ62" s="667" t="s">
        <v>621</v>
      </c>
      <c r="AK62" s="667" t="s">
        <v>621</v>
      </c>
      <c r="AL62" s="667" t="s">
        <v>621</v>
      </c>
      <c r="AM62" s="667" t="s">
        <v>621</v>
      </c>
      <c r="AN62" s="667" t="s">
        <v>621</v>
      </c>
      <c r="AO62" s="667" t="s">
        <v>621</v>
      </c>
      <c r="AP62" s="667" t="s">
        <v>621</v>
      </c>
      <c r="AQ62" s="667" t="s">
        <v>621</v>
      </c>
      <c r="AR62" s="667" t="s">
        <v>621</v>
      </c>
      <c r="AS62" s="667" t="s">
        <v>621</v>
      </c>
    </row>
    <row r="63" spans="1:45" s="374" customFormat="1" ht="91.5" customHeight="1" x14ac:dyDescent="0.4">
      <c r="A63" s="386" t="s">
        <v>547</v>
      </c>
      <c r="B63" s="387" t="s">
        <v>705</v>
      </c>
      <c r="C63" s="299" t="s">
        <v>621</v>
      </c>
      <c r="D63" s="299" t="s">
        <v>621</v>
      </c>
      <c r="E63" s="299" t="s">
        <v>621</v>
      </c>
      <c r="F63" s="299" t="s">
        <v>621</v>
      </c>
      <c r="G63" s="299" t="s">
        <v>621</v>
      </c>
      <c r="H63" s="299" t="s">
        <v>621</v>
      </c>
      <c r="I63" s="299" t="s">
        <v>621</v>
      </c>
      <c r="J63" s="299">
        <v>6.87</v>
      </c>
      <c r="K63" s="299" t="s">
        <v>621</v>
      </c>
      <c r="L63" s="299" t="s">
        <v>621</v>
      </c>
      <c r="M63" s="299" t="s">
        <v>621</v>
      </c>
      <c r="N63" s="299" t="s">
        <v>621</v>
      </c>
      <c r="O63" s="299" t="s">
        <v>621</v>
      </c>
      <c r="P63" s="299" t="s">
        <v>621</v>
      </c>
      <c r="Q63" s="299" t="s">
        <v>621</v>
      </c>
      <c r="R63" s="299" t="s">
        <v>621</v>
      </c>
      <c r="S63" s="299" t="s">
        <v>621</v>
      </c>
      <c r="T63" s="299" t="s">
        <v>621</v>
      </c>
      <c r="U63" s="299" t="s">
        <v>621</v>
      </c>
      <c r="V63" s="299" t="s">
        <v>621</v>
      </c>
      <c r="W63" s="299" t="s">
        <v>621</v>
      </c>
      <c r="X63" s="299" t="s">
        <v>621</v>
      </c>
      <c r="Y63" s="299" t="s">
        <v>621</v>
      </c>
      <c r="Z63" s="299" t="s">
        <v>621</v>
      </c>
      <c r="AA63" s="299" t="s">
        <v>621</v>
      </c>
      <c r="AB63" s="299" t="s">
        <v>621</v>
      </c>
      <c r="AC63" s="299" t="s">
        <v>621</v>
      </c>
      <c r="AD63" s="299" t="s">
        <v>621</v>
      </c>
      <c r="AE63" s="299" t="s">
        <v>621</v>
      </c>
      <c r="AF63" s="299" t="s">
        <v>621</v>
      </c>
      <c r="AG63" s="299" t="s">
        <v>621</v>
      </c>
      <c r="AH63" s="299" t="s">
        <v>621</v>
      </c>
      <c r="AI63" s="299" t="s">
        <v>621</v>
      </c>
      <c r="AJ63" s="299" t="s">
        <v>621</v>
      </c>
      <c r="AK63" s="299" t="s">
        <v>621</v>
      </c>
      <c r="AL63" s="299" t="s">
        <v>621</v>
      </c>
      <c r="AM63" s="299" t="s">
        <v>621</v>
      </c>
      <c r="AN63" s="299" t="s">
        <v>621</v>
      </c>
      <c r="AO63" s="299" t="s">
        <v>621</v>
      </c>
      <c r="AP63" s="299" t="s">
        <v>621</v>
      </c>
      <c r="AQ63" s="299" t="s">
        <v>621</v>
      </c>
      <c r="AR63" s="299" t="s">
        <v>621</v>
      </c>
      <c r="AS63" s="299" t="s">
        <v>621</v>
      </c>
    </row>
    <row r="64" spans="1:45" s="374" customFormat="1" ht="19.5" hidden="1" customHeight="1" x14ac:dyDescent="0.4">
      <c r="A64" s="386" t="s">
        <v>603</v>
      </c>
      <c r="B64" s="387" t="s">
        <v>706</v>
      </c>
      <c r="C64" s="299" t="s">
        <v>621</v>
      </c>
      <c r="D64" s="299" t="s">
        <v>621</v>
      </c>
      <c r="E64" s="299" t="s">
        <v>621</v>
      </c>
      <c r="F64" s="299" t="s">
        <v>621</v>
      </c>
      <c r="G64" s="299" t="s">
        <v>621</v>
      </c>
      <c r="H64" s="299" t="s">
        <v>621</v>
      </c>
      <c r="I64" s="299" t="s">
        <v>621</v>
      </c>
      <c r="J64" s="299" t="s">
        <v>621</v>
      </c>
      <c r="K64" s="299" t="s">
        <v>621</v>
      </c>
      <c r="L64" s="299" t="s">
        <v>621</v>
      </c>
      <c r="M64" s="299" t="s">
        <v>621</v>
      </c>
      <c r="N64" s="299" t="s">
        <v>621</v>
      </c>
      <c r="O64" s="299" t="s">
        <v>621</v>
      </c>
      <c r="P64" s="299" t="s">
        <v>621</v>
      </c>
      <c r="Q64" s="299" t="s">
        <v>621</v>
      </c>
      <c r="R64" s="299" t="s">
        <v>621</v>
      </c>
      <c r="S64" s="299" t="s">
        <v>621</v>
      </c>
      <c r="T64" s="299" t="s">
        <v>621</v>
      </c>
      <c r="U64" s="299" t="s">
        <v>621</v>
      </c>
      <c r="V64" s="299" t="s">
        <v>621</v>
      </c>
      <c r="W64" s="299" t="s">
        <v>621</v>
      </c>
      <c r="X64" s="299" t="s">
        <v>621</v>
      </c>
      <c r="Y64" s="299" t="s">
        <v>621</v>
      </c>
      <c r="Z64" s="299" t="s">
        <v>621</v>
      </c>
      <c r="AA64" s="299" t="s">
        <v>621</v>
      </c>
      <c r="AB64" s="299" t="s">
        <v>621</v>
      </c>
      <c r="AC64" s="299" t="s">
        <v>621</v>
      </c>
      <c r="AD64" s="299" t="s">
        <v>621</v>
      </c>
      <c r="AE64" s="299" t="s">
        <v>621</v>
      </c>
      <c r="AF64" s="299" t="s">
        <v>621</v>
      </c>
      <c r="AG64" s="299" t="s">
        <v>621</v>
      </c>
      <c r="AH64" s="299" t="s">
        <v>621</v>
      </c>
      <c r="AI64" s="299" t="s">
        <v>621</v>
      </c>
      <c r="AJ64" s="299" t="s">
        <v>621</v>
      </c>
      <c r="AK64" s="299" t="s">
        <v>621</v>
      </c>
      <c r="AL64" s="299" t="s">
        <v>621</v>
      </c>
      <c r="AM64" s="299" t="s">
        <v>621</v>
      </c>
      <c r="AN64" s="299" t="s">
        <v>621</v>
      </c>
      <c r="AO64" s="299" t="s">
        <v>621</v>
      </c>
      <c r="AP64" s="299" t="s">
        <v>621</v>
      </c>
      <c r="AQ64" s="299" t="s">
        <v>621</v>
      </c>
      <c r="AR64" s="299" t="s">
        <v>621</v>
      </c>
      <c r="AS64" s="299" t="s">
        <v>621</v>
      </c>
    </row>
    <row r="65" spans="1:45" s="374" customFormat="1" ht="81.75" customHeight="1" x14ac:dyDescent="0.4">
      <c r="A65" s="386" t="s">
        <v>604</v>
      </c>
      <c r="B65" s="387" t="s">
        <v>707</v>
      </c>
      <c r="C65" s="299" t="s">
        <v>621</v>
      </c>
      <c r="D65" s="299" t="s">
        <v>621</v>
      </c>
      <c r="E65" s="299" t="s">
        <v>621</v>
      </c>
      <c r="F65" s="299" t="s">
        <v>621</v>
      </c>
      <c r="G65" s="299" t="s">
        <v>621</v>
      </c>
      <c r="H65" s="299" t="s">
        <v>621</v>
      </c>
      <c r="I65" s="299" t="s">
        <v>621</v>
      </c>
      <c r="J65" s="299">
        <v>6.87</v>
      </c>
      <c r="K65" s="299" t="s">
        <v>621</v>
      </c>
      <c r="L65" s="299" t="s">
        <v>621</v>
      </c>
      <c r="M65" s="299" t="s">
        <v>621</v>
      </c>
      <c r="N65" s="299" t="s">
        <v>621</v>
      </c>
      <c r="O65" s="299" t="s">
        <v>621</v>
      </c>
      <c r="P65" s="299" t="s">
        <v>621</v>
      </c>
      <c r="Q65" s="299" t="s">
        <v>621</v>
      </c>
      <c r="R65" s="299" t="s">
        <v>621</v>
      </c>
      <c r="S65" s="299" t="s">
        <v>621</v>
      </c>
      <c r="T65" s="299" t="s">
        <v>621</v>
      </c>
      <c r="U65" s="299" t="s">
        <v>621</v>
      </c>
      <c r="V65" s="299" t="s">
        <v>621</v>
      </c>
      <c r="W65" s="299" t="s">
        <v>621</v>
      </c>
      <c r="X65" s="299" t="s">
        <v>621</v>
      </c>
      <c r="Y65" s="299" t="s">
        <v>621</v>
      </c>
      <c r="Z65" s="299" t="s">
        <v>621</v>
      </c>
      <c r="AA65" s="299" t="s">
        <v>621</v>
      </c>
      <c r="AB65" s="299" t="s">
        <v>621</v>
      </c>
      <c r="AC65" s="299" t="s">
        <v>621</v>
      </c>
      <c r="AD65" s="299" t="s">
        <v>621</v>
      </c>
      <c r="AE65" s="299" t="s">
        <v>621</v>
      </c>
      <c r="AF65" s="299" t="s">
        <v>621</v>
      </c>
      <c r="AG65" s="299" t="s">
        <v>621</v>
      </c>
      <c r="AH65" s="299" t="s">
        <v>621</v>
      </c>
      <c r="AI65" s="299" t="s">
        <v>621</v>
      </c>
      <c r="AJ65" s="299" t="s">
        <v>621</v>
      </c>
      <c r="AK65" s="299" t="s">
        <v>621</v>
      </c>
      <c r="AL65" s="299" t="s">
        <v>621</v>
      </c>
      <c r="AM65" s="299" t="s">
        <v>621</v>
      </c>
      <c r="AN65" s="299" t="s">
        <v>621</v>
      </c>
      <c r="AO65" s="299" t="s">
        <v>621</v>
      </c>
      <c r="AP65" s="299" t="s">
        <v>621</v>
      </c>
      <c r="AQ65" s="299" t="s">
        <v>621</v>
      </c>
      <c r="AR65" s="299" t="s">
        <v>621</v>
      </c>
      <c r="AS65" s="299" t="s">
        <v>621</v>
      </c>
    </row>
    <row r="66" spans="1:45" s="388" customFormat="1" ht="39.950000000000003" customHeight="1" x14ac:dyDescent="0.25">
      <c r="A66" s="380" t="s">
        <v>893</v>
      </c>
      <c r="B66" s="381" t="s">
        <v>877</v>
      </c>
      <c r="C66" s="348" t="str">
        <f t="shared" ref="C66:C72" si="1">CONCATENATE("J","_",2023,"_",A66)</f>
        <v>J_2023_1.2.4.2.9</v>
      </c>
      <c r="D66" s="348" t="s">
        <v>621</v>
      </c>
      <c r="E66" s="348" t="s">
        <v>621</v>
      </c>
      <c r="F66" s="348" t="s">
        <v>621</v>
      </c>
      <c r="G66" s="348" t="s">
        <v>621</v>
      </c>
      <c r="H66" s="348" t="s">
        <v>621</v>
      </c>
      <c r="I66" s="348" t="s">
        <v>621</v>
      </c>
      <c r="J66" s="348">
        <v>1.26</v>
      </c>
      <c r="K66" s="348" t="s">
        <v>621</v>
      </c>
      <c r="L66" s="348" t="s">
        <v>621</v>
      </c>
      <c r="M66" s="348" t="s">
        <v>621</v>
      </c>
      <c r="N66" s="348" t="s">
        <v>621</v>
      </c>
      <c r="O66" s="348" t="s">
        <v>621</v>
      </c>
      <c r="P66" s="348" t="s">
        <v>621</v>
      </c>
      <c r="Q66" s="348" t="s">
        <v>621</v>
      </c>
      <c r="R66" s="348" t="s">
        <v>621</v>
      </c>
      <c r="S66" s="348" t="s">
        <v>621</v>
      </c>
      <c r="T66" s="348" t="s">
        <v>621</v>
      </c>
      <c r="U66" s="348" t="s">
        <v>621</v>
      </c>
      <c r="V66" s="348" t="s">
        <v>621</v>
      </c>
      <c r="W66" s="348" t="s">
        <v>621</v>
      </c>
      <c r="X66" s="348" t="s">
        <v>621</v>
      </c>
      <c r="Y66" s="348" t="s">
        <v>621</v>
      </c>
      <c r="Z66" s="348" t="s">
        <v>621</v>
      </c>
      <c r="AA66" s="348" t="s">
        <v>621</v>
      </c>
      <c r="AB66" s="348" t="s">
        <v>621</v>
      </c>
      <c r="AC66" s="348" t="s">
        <v>621</v>
      </c>
      <c r="AD66" s="348" t="s">
        <v>621</v>
      </c>
      <c r="AE66" s="348" t="s">
        <v>621</v>
      </c>
      <c r="AF66" s="348" t="s">
        <v>621</v>
      </c>
      <c r="AG66" s="348" t="s">
        <v>621</v>
      </c>
      <c r="AH66" s="348" t="s">
        <v>621</v>
      </c>
      <c r="AI66" s="348" t="s">
        <v>621</v>
      </c>
      <c r="AJ66" s="348" t="s">
        <v>621</v>
      </c>
      <c r="AK66" s="348" t="s">
        <v>621</v>
      </c>
      <c r="AL66" s="348" t="s">
        <v>621</v>
      </c>
      <c r="AM66" s="348" t="s">
        <v>621</v>
      </c>
      <c r="AN66" s="348" t="s">
        <v>621</v>
      </c>
      <c r="AO66" s="348" t="s">
        <v>621</v>
      </c>
      <c r="AP66" s="348" t="s">
        <v>621</v>
      </c>
      <c r="AQ66" s="348" t="s">
        <v>621</v>
      </c>
      <c r="AR66" s="348" t="s">
        <v>621</v>
      </c>
      <c r="AS66" s="348" t="s">
        <v>621</v>
      </c>
    </row>
    <row r="67" spans="1:45" s="388" customFormat="1" ht="39.950000000000003" customHeight="1" x14ac:dyDescent="0.25">
      <c r="A67" s="380" t="s">
        <v>894</v>
      </c>
      <c r="B67" s="381" t="s">
        <v>878</v>
      </c>
      <c r="C67" s="348" t="str">
        <f t="shared" si="1"/>
        <v>J_2023_1.2.4.2.10</v>
      </c>
      <c r="D67" s="348" t="s">
        <v>621</v>
      </c>
      <c r="E67" s="348" t="s">
        <v>621</v>
      </c>
      <c r="F67" s="348" t="s">
        <v>621</v>
      </c>
      <c r="G67" s="348" t="s">
        <v>621</v>
      </c>
      <c r="H67" s="348" t="s">
        <v>621</v>
      </c>
      <c r="I67" s="348" t="s">
        <v>621</v>
      </c>
      <c r="J67" s="348">
        <v>1.03</v>
      </c>
      <c r="K67" s="348" t="s">
        <v>621</v>
      </c>
      <c r="L67" s="348" t="s">
        <v>621</v>
      </c>
      <c r="M67" s="348" t="s">
        <v>621</v>
      </c>
      <c r="N67" s="348" t="s">
        <v>621</v>
      </c>
      <c r="O67" s="348" t="s">
        <v>621</v>
      </c>
      <c r="P67" s="348" t="s">
        <v>621</v>
      </c>
      <c r="Q67" s="348" t="s">
        <v>621</v>
      </c>
      <c r="R67" s="348" t="s">
        <v>621</v>
      </c>
      <c r="S67" s="348" t="s">
        <v>621</v>
      </c>
      <c r="T67" s="348" t="s">
        <v>621</v>
      </c>
      <c r="U67" s="348" t="s">
        <v>621</v>
      </c>
      <c r="V67" s="348" t="s">
        <v>621</v>
      </c>
      <c r="W67" s="348" t="s">
        <v>621</v>
      </c>
      <c r="X67" s="348" t="s">
        <v>621</v>
      </c>
      <c r="Y67" s="348" t="s">
        <v>621</v>
      </c>
      <c r="Z67" s="348" t="s">
        <v>621</v>
      </c>
      <c r="AA67" s="348" t="s">
        <v>621</v>
      </c>
      <c r="AB67" s="348" t="s">
        <v>621</v>
      </c>
      <c r="AC67" s="348" t="s">
        <v>621</v>
      </c>
      <c r="AD67" s="348" t="s">
        <v>621</v>
      </c>
      <c r="AE67" s="348" t="s">
        <v>621</v>
      </c>
      <c r="AF67" s="348" t="s">
        <v>621</v>
      </c>
      <c r="AG67" s="348" t="s">
        <v>621</v>
      </c>
      <c r="AH67" s="348" t="s">
        <v>621</v>
      </c>
      <c r="AI67" s="348" t="s">
        <v>621</v>
      </c>
      <c r="AJ67" s="348" t="s">
        <v>621</v>
      </c>
      <c r="AK67" s="348" t="s">
        <v>621</v>
      </c>
      <c r="AL67" s="348" t="s">
        <v>621</v>
      </c>
      <c r="AM67" s="348" t="s">
        <v>621</v>
      </c>
      <c r="AN67" s="348" t="s">
        <v>621</v>
      </c>
      <c r="AO67" s="348" t="s">
        <v>621</v>
      </c>
      <c r="AP67" s="348" t="s">
        <v>621</v>
      </c>
      <c r="AQ67" s="348" t="s">
        <v>621</v>
      </c>
      <c r="AR67" s="348" t="s">
        <v>621</v>
      </c>
      <c r="AS67" s="348" t="s">
        <v>621</v>
      </c>
    </row>
    <row r="68" spans="1:45" s="388" customFormat="1" ht="39.950000000000003" customHeight="1" x14ac:dyDescent="0.25">
      <c r="A68" s="380" t="s">
        <v>895</v>
      </c>
      <c r="B68" s="381" t="s">
        <v>879</v>
      </c>
      <c r="C68" s="348" t="str">
        <f t="shared" si="1"/>
        <v>J_2023_1.2.4.2.11</v>
      </c>
      <c r="D68" s="348" t="s">
        <v>621</v>
      </c>
      <c r="E68" s="348" t="s">
        <v>621</v>
      </c>
      <c r="F68" s="348" t="s">
        <v>621</v>
      </c>
      <c r="G68" s="348" t="s">
        <v>621</v>
      </c>
      <c r="H68" s="348" t="s">
        <v>621</v>
      </c>
      <c r="I68" s="348" t="s">
        <v>621</v>
      </c>
      <c r="J68" s="348">
        <v>0.63</v>
      </c>
      <c r="K68" s="348" t="s">
        <v>621</v>
      </c>
      <c r="L68" s="348" t="s">
        <v>621</v>
      </c>
      <c r="M68" s="348" t="s">
        <v>621</v>
      </c>
      <c r="N68" s="348" t="s">
        <v>621</v>
      </c>
      <c r="O68" s="348" t="s">
        <v>621</v>
      </c>
      <c r="P68" s="348" t="s">
        <v>621</v>
      </c>
      <c r="Q68" s="348" t="s">
        <v>621</v>
      </c>
      <c r="R68" s="348" t="s">
        <v>621</v>
      </c>
      <c r="S68" s="348" t="s">
        <v>621</v>
      </c>
      <c r="T68" s="348" t="s">
        <v>621</v>
      </c>
      <c r="U68" s="348" t="s">
        <v>621</v>
      </c>
      <c r="V68" s="348" t="s">
        <v>621</v>
      </c>
      <c r="W68" s="348" t="s">
        <v>621</v>
      </c>
      <c r="X68" s="348" t="s">
        <v>621</v>
      </c>
      <c r="Y68" s="348" t="s">
        <v>621</v>
      </c>
      <c r="Z68" s="348" t="s">
        <v>621</v>
      </c>
      <c r="AA68" s="348" t="s">
        <v>621</v>
      </c>
      <c r="AB68" s="348" t="s">
        <v>621</v>
      </c>
      <c r="AC68" s="348" t="s">
        <v>621</v>
      </c>
      <c r="AD68" s="348" t="s">
        <v>621</v>
      </c>
      <c r="AE68" s="348" t="s">
        <v>621</v>
      </c>
      <c r="AF68" s="348" t="s">
        <v>621</v>
      </c>
      <c r="AG68" s="348" t="s">
        <v>621</v>
      </c>
      <c r="AH68" s="348" t="s">
        <v>621</v>
      </c>
      <c r="AI68" s="348" t="s">
        <v>621</v>
      </c>
      <c r="AJ68" s="348" t="s">
        <v>621</v>
      </c>
      <c r="AK68" s="348" t="s">
        <v>621</v>
      </c>
      <c r="AL68" s="348" t="s">
        <v>621</v>
      </c>
      <c r="AM68" s="348" t="s">
        <v>621</v>
      </c>
      <c r="AN68" s="348" t="s">
        <v>621</v>
      </c>
      <c r="AO68" s="348" t="s">
        <v>621</v>
      </c>
      <c r="AP68" s="348" t="s">
        <v>621</v>
      </c>
      <c r="AQ68" s="348" t="s">
        <v>621</v>
      </c>
      <c r="AR68" s="348" t="s">
        <v>621</v>
      </c>
      <c r="AS68" s="348" t="s">
        <v>621</v>
      </c>
    </row>
    <row r="69" spans="1:45" s="388" customFormat="1" ht="39.950000000000003" customHeight="1" x14ac:dyDescent="0.25">
      <c r="A69" s="380" t="s">
        <v>896</v>
      </c>
      <c r="B69" s="381" t="s">
        <v>880</v>
      </c>
      <c r="C69" s="348" t="str">
        <f t="shared" si="1"/>
        <v>J_2023_1.2.4.2.12</v>
      </c>
      <c r="D69" s="348" t="s">
        <v>621</v>
      </c>
      <c r="E69" s="348" t="s">
        <v>621</v>
      </c>
      <c r="F69" s="348" t="s">
        <v>621</v>
      </c>
      <c r="G69" s="348" t="s">
        <v>621</v>
      </c>
      <c r="H69" s="348" t="s">
        <v>621</v>
      </c>
      <c r="I69" s="348" t="s">
        <v>621</v>
      </c>
      <c r="J69" s="348">
        <v>0.63</v>
      </c>
      <c r="K69" s="348" t="s">
        <v>621</v>
      </c>
      <c r="L69" s="348" t="s">
        <v>621</v>
      </c>
      <c r="M69" s="348" t="s">
        <v>621</v>
      </c>
      <c r="N69" s="348" t="s">
        <v>621</v>
      </c>
      <c r="O69" s="348" t="s">
        <v>621</v>
      </c>
      <c r="P69" s="348" t="s">
        <v>621</v>
      </c>
      <c r="Q69" s="348" t="s">
        <v>621</v>
      </c>
      <c r="R69" s="348" t="s">
        <v>621</v>
      </c>
      <c r="S69" s="348" t="s">
        <v>621</v>
      </c>
      <c r="T69" s="348" t="s">
        <v>621</v>
      </c>
      <c r="U69" s="348" t="s">
        <v>621</v>
      </c>
      <c r="V69" s="348" t="s">
        <v>621</v>
      </c>
      <c r="W69" s="348" t="s">
        <v>621</v>
      </c>
      <c r="X69" s="348" t="s">
        <v>621</v>
      </c>
      <c r="Y69" s="348" t="s">
        <v>621</v>
      </c>
      <c r="Z69" s="348" t="s">
        <v>621</v>
      </c>
      <c r="AA69" s="348" t="s">
        <v>621</v>
      </c>
      <c r="AB69" s="348" t="s">
        <v>621</v>
      </c>
      <c r="AC69" s="348" t="s">
        <v>621</v>
      </c>
      <c r="AD69" s="348" t="s">
        <v>621</v>
      </c>
      <c r="AE69" s="348" t="s">
        <v>621</v>
      </c>
      <c r="AF69" s="348" t="s">
        <v>621</v>
      </c>
      <c r="AG69" s="348" t="s">
        <v>621</v>
      </c>
      <c r="AH69" s="348" t="s">
        <v>621</v>
      </c>
      <c r="AI69" s="348" t="s">
        <v>621</v>
      </c>
      <c r="AJ69" s="348" t="s">
        <v>621</v>
      </c>
      <c r="AK69" s="348" t="s">
        <v>621</v>
      </c>
      <c r="AL69" s="348" t="s">
        <v>621</v>
      </c>
      <c r="AM69" s="348" t="s">
        <v>621</v>
      </c>
      <c r="AN69" s="348" t="s">
        <v>621</v>
      </c>
      <c r="AO69" s="348" t="s">
        <v>621</v>
      </c>
      <c r="AP69" s="348" t="s">
        <v>621</v>
      </c>
      <c r="AQ69" s="348" t="s">
        <v>621</v>
      </c>
      <c r="AR69" s="348" t="s">
        <v>621</v>
      </c>
      <c r="AS69" s="348" t="s">
        <v>621</v>
      </c>
    </row>
    <row r="70" spans="1:45" s="388" customFormat="1" ht="39.950000000000003" customHeight="1" x14ac:dyDescent="0.25">
      <c r="A70" s="380" t="s">
        <v>897</v>
      </c>
      <c r="B70" s="381" t="s">
        <v>881</v>
      </c>
      <c r="C70" s="348" t="str">
        <f t="shared" si="1"/>
        <v>J_2023_1.2.4.2.13</v>
      </c>
      <c r="D70" s="348" t="s">
        <v>621</v>
      </c>
      <c r="E70" s="348" t="s">
        <v>621</v>
      </c>
      <c r="F70" s="348" t="s">
        <v>621</v>
      </c>
      <c r="G70" s="348" t="s">
        <v>621</v>
      </c>
      <c r="H70" s="348" t="s">
        <v>621</v>
      </c>
      <c r="I70" s="348" t="s">
        <v>621</v>
      </c>
      <c r="J70" s="348">
        <v>0.8</v>
      </c>
      <c r="K70" s="348" t="s">
        <v>621</v>
      </c>
      <c r="L70" s="348" t="s">
        <v>621</v>
      </c>
      <c r="M70" s="348" t="s">
        <v>621</v>
      </c>
      <c r="N70" s="348" t="s">
        <v>621</v>
      </c>
      <c r="O70" s="348" t="s">
        <v>621</v>
      </c>
      <c r="P70" s="348" t="s">
        <v>621</v>
      </c>
      <c r="Q70" s="348" t="s">
        <v>621</v>
      </c>
      <c r="R70" s="348" t="s">
        <v>621</v>
      </c>
      <c r="S70" s="348" t="s">
        <v>621</v>
      </c>
      <c r="T70" s="348" t="s">
        <v>621</v>
      </c>
      <c r="U70" s="348" t="s">
        <v>621</v>
      </c>
      <c r="V70" s="348" t="s">
        <v>621</v>
      </c>
      <c r="W70" s="348" t="s">
        <v>621</v>
      </c>
      <c r="X70" s="348" t="s">
        <v>621</v>
      </c>
      <c r="Y70" s="348" t="s">
        <v>621</v>
      </c>
      <c r="Z70" s="348" t="s">
        <v>621</v>
      </c>
      <c r="AA70" s="348" t="s">
        <v>621</v>
      </c>
      <c r="AB70" s="348" t="s">
        <v>621</v>
      </c>
      <c r="AC70" s="348" t="s">
        <v>621</v>
      </c>
      <c r="AD70" s="348" t="s">
        <v>621</v>
      </c>
      <c r="AE70" s="348" t="s">
        <v>621</v>
      </c>
      <c r="AF70" s="348" t="s">
        <v>621</v>
      </c>
      <c r="AG70" s="348" t="s">
        <v>621</v>
      </c>
      <c r="AH70" s="348" t="s">
        <v>621</v>
      </c>
      <c r="AI70" s="348" t="s">
        <v>621</v>
      </c>
      <c r="AJ70" s="348" t="s">
        <v>621</v>
      </c>
      <c r="AK70" s="348" t="s">
        <v>621</v>
      </c>
      <c r="AL70" s="348" t="s">
        <v>621</v>
      </c>
      <c r="AM70" s="348" t="s">
        <v>621</v>
      </c>
      <c r="AN70" s="348" t="s">
        <v>621</v>
      </c>
      <c r="AO70" s="348" t="s">
        <v>621</v>
      </c>
      <c r="AP70" s="348" t="s">
        <v>621</v>
      </c>
      <c r="AQ70" s="348" t="s">
        <v>621</v>
      </c>
      <c r="AR70" s="348" t="s">
        <v>621</v>
      </c>
      <c r="AS70" s="348" t="s">
        <v>621</v>
      </c>
    </row>
    <row r="71" spans="1:45" s="388" customFormat="1" ht="39.950000000000003" customHeight="1" x14ac:dyDescent="0.25">
      <c r="A71" s="380" t="s">
        <v>898</v>
      </c>
      <c r="B71" s="381" t="s">
        <v>882</v>
      </c>
      <c r="C71" s="348" t="str">
        <f t="shared" si="1"/>
        <v>J_2023_1.2.4.2.14</v>
      </c>
      <c r="D71" s="348" t="s">
        <v>621</v>
      </c>
      <c r="E71" s="348" t="s">
        <v>621</v>
      </c>
      <c r="F71" s="348" t="s">
        <v>621</v>
      </c>
      <c r="G71" s="348" t="s">
        <v>621</v>
      </c>
      <c r="H71" s="348" t="s">
        <v>621</v>
      </c>
      <c r="I71" s="348" t="s">
        <v>621</v>
      </c>
      <c r="J71" s="348">
        <v>1.26</v>
      </c>
      <c r="K71" s="348" t="s">
        <v>621</v>
      </c>
      <c r="L71" s="348" t="s">
        <v>621</v>
      </c>
      <c r="M71" s="348" t="s">
        <v>621</v>
      </c>
      <c r="N71" s="348" t="s">
        <v>621</v>
      </c>
      <c r="O71" s="348" t="s">
        <v>621</v>
      </c>
      <c r="P71" s="348" t="s">
        <v>621</v>
      </c>
      <c r="Q71" s="348" t="s">
        <v>621</v>
      </c>
      <c r="R71" s="348" t="s">
        <v>621</v>
      </c>
      <c r="S71" s="348" t="s">
        <v>621</v>
      </c>
      <c r="T71" s="348" t="s">
        <v>621</v>
      </c>
      <c r="U71" s="348" t="s">
        <v>621</v>
      </c>
      <c r="V71" s="348" t="s">
        <v>621</v>
      </c>
      <c r="W71" s="348" t="s">
        <v>621</v>
      </c>
      <c r="X71" s="348" t="s">
        <v>621</v>
      </c>
      <c r="Y71" s="348" t="s">
        <v>621</v>
      </c>
      <c r="Z71" s="348" t="s">
        <v>621</v>
      </c>
      <c r="AA71" s="348" t="s">
        <v>621</v>
      </c>
      <c r="AB71" s="348" t="s">
        <v>621</v>
      </c>
      <c r="AC71" s="348" t="s">
        <v>621</v>
      </c>
      <c r="AD71" s="348" t="s">
        <v>621</v>
      </c>
      <c r="AE71" s="348" t="s">
        <v>621</v>
      </c>
      <c r="AF71" s="348" t="s">
        <v>621</v>
      </c>
      <c r="AG71" s="348" t="s">
        <v>621</v>
      </c>
      <c r="AH71" s="348" t="s">
        <v>621</v>
      </c>
      <c r="AI71" s="348" t="s">
        <v>621</v>
      </c>
      <c r="AJ71" s="348" t="s">
        <v>621</v>
      </c>
      <c r="AK71" s="348" t="s">
        <v>621</v>
      </c>
      <c r="AL71" s="348" t="s">
        <v>621</v>
      </c>
      <c r="AM71" s="348" t="s">
        <v>621</v>
      </c>
      <c r="AN71" s="348" t="s">
        <v>621</v>
      </c>
      <c r="AO71" s="348" t="s">
        <v>621</v>
      </c>
      <c r="AP71" s="348" t="s">
        <v>621</v>
      </c>
      <c r="AQ71" s="348" t="s">
        <v>621</v>
      </c>
      <c r="AR71" s="348" t="s">
        <v>621</v>
      </c>
      <c r="AS71" s="348" t="s">
        <v>621</v>
      </c>
    </row>
    <row r="72" spans="1:45" s="388" customFormat="1" ht="39.950000000000003" customHeight="1" x14ac:dyDescent="0.25">
      <c r="A72" s="380" t="s">
        <v>899</v>
      </c>
      <c r="B72" s="381" t="s">
        <v>883</v>
      </c>
      <c r="C72" s="348" t="str">
        <f t="shared" si="1"/>
        <v>J_2023_1.2.4.2.15</v>
      </c>
      <c r="D72" s="348" t="s">
        <v>621</v>
      </c>
      <c r="E72" s="348" t="s">
        <v>621</v>
      </c>
      <c r="F72" s="348" t="s">
        <v>621</v>
      </c>
      <c r="G72" s="348" t="s">
        <v>621</v>
      </c>
      <c r="H72" s="348" t="s">
        <v>621</v>
      </c>
      <c r="I72" s="348" t="s">
        <v>621</v>
      </c>
      <c r="J72" s="348">
        <v>1.26</v>
      </c>
      <c r="K72" s="348" t="s">
        <v>621</v>
      </c>
      <c r="L72" s="348" t="s">
        <v>621</v>
      </c>
      <c r="M72" s="348" t="s">
        <v>621</v>
      </c>
      <c r="N72" s="348" t="s">
        <v>621</v>
      </c>
      <c r="O72" s="348" t="s">
        <v>621</v>
      </c>
      <c r="P72" s="348" t="s">
        <v>621</v>
      </c>
      <c r="Q72" s="348" t="s">
        <v>621</v>
      </c>
      <c r="R72" s="348" t="s">
        <v>621</v>
      </c>
      <c r="S72" s="348" t="s">
        <v>621</v>
      </c>
      <c r="T72" s="348" t="s">
        <v>621</v>
      </c>
      <c r="U72" s="348" t="s">
        <v>621</v>
      </c>
      <c r="V72" s="348" t="s">
        <v>621</v>
      </c>
      <c r="W72" s="348" t="s">
        <v>621</v>
      </c>
      <c r="X72" s="348" t="s">
        <v>621</v>
      </c>
      <c r="Y72" s="348" t="s">
        <v>621</v>
      </c>
      <c r="Z72" s="348" t="s">
        <v>621</v>
      </c>
      <c r="AA72" s="348" t="s">
        <v>621</v>
      </c>
      <c r="AB72" s="348" t="s">
        <v>621</v>
      </c>
      <c r="AC72" s="348" t="s">
        <v>621</v>
      </c>
      <c r="AD72" s="348" t="s">
        <v>621</v>
      </c>
      <c r="AE72" s="348" t="s">
        <v>621</v>
      </c>
      <c r="AF72" s="348" t="s">
        <v>621</v>
      </c>
      <c r="AG72" s="348" t="s">
        <v>621</v>
      </c>
      <c r="AH72" s="348" t="s">
        <v>621</v>
      </c>
      <c r="AI72" s="348" t="s">
        <v>621</v>
      </c>
      <c r="AJ72" s="348" t="s">
        <v>621</v>
      </c>
      <c r="AK72" s="348" t="s">
        <v>621</v>
      </c>
      <c r="AL72" s="348" t="s">
        <v>621</v>
      </c>
      <c r="AM72" s="348" t="s">
        <v>621</v>
      </c>
      <c r="AN72" s="348" t="s">
        <v>621</v>
      </c>
      <c r="AO72" s="348" t="s">
        <v>621</v>
      </c>
      <c r="AP72" s="348" t="s">
        <v>621</v>
      </c>
      <c r="AQ72" s="348" t="s">
        <v>621</v>
      </c>
      <c r="AR72" s="348" t="s">
        <v>621</v>
      </c>
      <c r="AS72" s="348" t="s">
        <v>621</v>
      </c>
    </row>
    <row r="73" spans="1:45" ht="93" hidden="1" x14ac:dyDescent="0.35">
      <c r="A73" s="362" t="s">
        <v>722</v>
      </c>
      <c r="B73" s="363" t="s">
        <v>708</v>
      </c>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row>
    <row r="74" spans="1:45" ht="69.75" hidden="1" x14ac:dyDescent="0.35">
      <c r="A74" s="358" t="s">
        <v>723</v>
      </c>
      <c r="B74" s="359" t="s">
        <v>709</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row>
    <row r="75" spans="1:45" ht="69.75" hidden="1" x14ac:dyDescent="0.35">
      <c r="A75" s="358" t="s">
        <v>724</v>
      </c>
      <c r="B75" s="359" t="s">
        <v>710</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row>
    <row r="76" spans="1:45" ht="45" hidden="1" x14ac:dyDescent="0.35">
      <c r="A76" s="357" t="s">
        <v>742</v>
      </c>
      <c r="B76" s="372" t="s">
        <v>688</v>
      </c>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row>
    <row r="77" spans="1:45" ht="45" hidden="1" x14ac:dyDescent="0.35">
      <c r="A77" s="357" t="s">
        <v>743</v>
      </c>
      <c r="B77" s="372" t="s">
        <v>689</v>
      </c>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row>
    <row r="78" spans="1:45" ht="24.75" hidden="1" customHeight="1" x14ac:dyDescent="0.35">
      <c r="A78" s="357" t="s">
        <v>741</v>
      </c>
      <c r="B78" s="373" t="s">
        <v>690</v>
      </c>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row>
    <row r="79" spans="1:45" ht="7.5" customHeight="1" x14ac:dyDescent="0.35"/>
    <row r="80" spans="1:45" s="374" customFormat="1" ht="59.25" customHeight="1" x14ac:dyDescent="0.4">
      <c r="B80" s="374" t="s">
        <v>1743</v>
      </c>
      <c r="W80" s="374" t="s">
        <v>1652</v>
      </c>
    </row>
  </sheetData>
  <mergeCells count="42">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L17:AM1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A8:AS8"/>
    <mergeCell ref="K2:L2"/>
    <mergeCell ref="M2:N2"/>
    <mergeCell ref="A4:AS4"/>
    <mergeCell ref="A5:AS5"/>
    <mergeCell ref="A7:AS7"/>
  </mergeCells>
  <printOptions horizontalCentered="1"/>
  <pageMargins left="0.19685039370078741" right="0.19685039370078741" top="0.74803149606299213" bottom="0.15748031496062992" header="0.31496062992125984" footer="0.31496062992125984"/>
  <pageSetup paperSize="8" scale="3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80"/>
  <sheetViews>
    <sheetView topLeftCell="A52" zoomScale="40" zoomScaleNormal="40" zoomScaleSheetLayoutView="25" workbookViewId="0">
      <selection activeCell="K78" sqref="K78"/>
    </sheetView>
  </sheetViews>
  <sheetFormatPr defaultRowHeight="23.25" x14ac:dyDescent="0.35"/>
  <cols>
    <col min="1" max="1" width="16" style="136" customWidth="1"/>
    <col min="2" max="2" width="48.25" style="136" customWidth="1"/>
    <col min="3" max="3" width="34.625" style="136" customWidth="1"/>
    <col min="4" max="4" width="8.875" style="136" bestFit="1" customWidth="1"/>
    <col min="5" max="5" width="16.375" style="136" customWidth="1"/>
    <col min="6" max="6" width="8.875" style="136" bestFit="1" customWidth="1"/>
    <col min="7" max="7" width="17.375" style="136" customWidth="1"/>
    <col min="8" max="8" width="8.875" style="136" bestFit="1" customWidth="1"/>
    <col min="9" max="9" width="16.375" style="136" customWidth="1"/>
    <col min="10" max="10" width="8.875" style="136" bestFit="1" customWidth="1"/>
    <col min="11" max="11" width="16.875" style="136" customWidth="1"/>
    <col min="12" max="12" width="8.875" style="136" bestFit="1" customWidth="1"/>
    <col min="13" max="13" width="17.375" style="136" customWidth="1"/>
    <col min="14" max="14" width="14.375" style="136" customWidth="1"/>
    <col min="15" max="15" width="18.625" style="136" customWidth="1"/>
    <col min="16" max="16" width="8.875" style="136" bestFit="1" customWidth="1"/>
    <col min="17" max="17" width="20.625" style="136" customWidth="1"/>
    <col min="18" max="18" width="8.875" style="136" bestFit="1" customWidth="1"/>
    <col min="19" max="19" width="24.375" style="136" bestFit="1" customWidth="1"/>
    <col min="20" max="20" width="10.75" style="136" bestFit="1" customWidth="1"/>
    <col min="21" max="21" width="19.875" style="136" customWidth="1"/>
    <col min="22" max="22" width="8.875" style="136" bestFit="1" customWidth="1"/>
    <col min="23" max="23" width="19.625" style="136" customWidth="1"/>
    <col min="24" max="24" width="8.875" style="136" bestFit="1" customWidth="1"/>
    <col min="25" max="25" width="17.875" style="136" customWidth="1"/>
    <col min="26" max="26" width="8.875" style="136" bestFit="1" customWidth="1"/>
    <col min="27" max="27" width="18.875" style="136" customWidth="1"/>
    <col min="28" max="28" width="8.875" style="136" bestFit="1" customWidth="1"/>
    <col min="29" max="29" width="18.875" style="136" customWidth="1"/>
    <col min="30" max="30" width="8.875" style="136" bestFit="1" customWidth="1"/>
    <col min="31" max="31" width="16.375" style="136" customWidth="1"/>
    <col min="32" max="32" width="8.875" style="136" bestFit="1" customWidth="1"/>
    <col min="33" max="33" width="17.375" style="136" customWidth="1"/>
    <col min="34" max="34" width="8.875" style="136" bestFit="1" customWidth="1"/>
    <col min="35" max="35" width="18.375" style="136" customWidth="1"/>
    <col min="36" max="36" width="8.875" style="136" bestFit="1" customWidth="1"/>
    <col min="37" max="37" width="21.375" style="136" customWidth="1"/>
    <col min="38" max="38" width="8.875" style="136" bestFit="1" customWidth="1"/>
    <col min="39" max="39" width="20.875" style="136" customWidth="1"/>
    <col min="40" max="40" width="8.875" style="136" bestFit="1" customWidth="1"/>
    <col min="41" max="41" width="24.375" style="136" bestFit="1" customWidth="1"/>
    <col min="42" max="42" width="8.875" style="136" bestFit="1" customWidth="1"/>
    <col min="43" max="43" width="24.375" style="136" bestFit="1" customWidth="1"/>
    <col min="44" max="44" width="9" style="136" bestFit="1" customWidth="1"/>
    <col min="45" max="45" width="18.875" style="136" customWidth="1"/>
    <col min="46" max="16384" width="9" style="136"/>
  </cols>
  <sheetData>
    <row r="1" spans="1:58" x14ac:dyDescent="0.35">
      <c r="AS1" s="364" t="s">
        <v>266</v>
      </c>
    </row>
    <row r="2" spans="1:58" x14ac:dyDescent="0.35">
      <c r="J2" s="365"/>
      <c r="K2" s="1127"/>
      <c r="L2" s="1127"/>
      <c r="M2" s="1127"/>
      <c r="N2" s="1127"/>
      <c r="O2" s="365"/>
      <c r="AS2" s="366" t="s">
        <v>1</v>
      </c>
    </row>
    <row r="3" spans="1:58" x14ac:dyDescent="0.35">
      <c r="J3" s="160"/>
      <c r="K3" s="160"/>
      <c r="L3" s="160"/>
      <c r="M3" s="160"/>
      <c r="N3" s="160"/>
      <c r="O3" s="160"/>
      <c r="AS3" s="366" t="s">
        <v>265</v>
      </c>
    </row>
    <row r="4" spans="1:58" x14ac:dyDescent="0.35">
      <c r="A4" s="1128" t="s">
        <v>673</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row>
    <row r="5" spans="1:58" x14ac:dyDescent="0.35">
      <c r="A5" s="1129" t="s">
        <v>930</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row>
    <row r="6" spans="1:58" ht="15.75" customHeight="1" x14ac:dyDescent="0.35"/>
    <row r="7" spans="1:58" ht="21.75" customHeight="1" x14ac:dyDescent="0.35">
      <c r="A7" s="1130" t="s">
        <v>926</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row>
    <row r="8" spans="1:58" ht="15.75" customHeight="1" x14ac:dyDescent="0.35">
      <c r="A8" s="1126" t="s">
        <v>313</v>
      </c>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row>
    <row r="10" spans="1:58" ht="27" customHeight="1" x14ac:dyDescent="0.35">
      <c r="A10" s="1130" t="s">
        <v>1698</v>
      </c>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30"/>
    </row>
    <row r="11" spans="1:58" ht="15" customHeight="1" x14ac:dyDescent="0.3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row>
    <row r="12" spans="1:58" s="160" customFormat="1" ht="38.25" customHeight="1" x14ac:dyDescent="0.35">
      <c r="A12" s="1131" t="s">
        <v>941</v>
      </c>
      <c r="B12" s="1131"/>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367"/>
      <c r="AU12" s="367"/>
      <c r="AV12" s="367"/>
      <c r="AW12" s="367"/>
      <c r="AX12" s="367"/>
      <c r="AY12" s="367"/>
      <c r="AZ12" s="367"/>
      <c r="BA12" s="367"/>
      <c r="BB12" s="367"/>
      <c r="BC12" s="367"/>
      <c r="BD12" s="367"/>
      <c r="BE12" s="367"/>
      <c r="BF12" s="367"/>
    </row>
    <row r="13" spans="1:58" s="160" customFormat="1" ht="21.75" customHeight="1" x14ac:dyDescent="0.35">
      <c r="A13" s="1131" t="s">
        <v>165</v>
      </c>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367"/>
      <c r="AU13" s="367"/>
      <c r="AV13" s="367"/>
      <c r="AW13" s="367"/>
      <c r="AX13" s="367"/>
      <c r="AY13" s="367"/>
      <c r="AZ13" s="367"/>
      <c r="BA13" s="367"/>
      <c r="BB13" s="367"/>
      <c r="BC13" s="367"/>
      <c r="BD13" s="367"/>
      <c r="BE13" s="367"/>
      <c r="BF13" s="367"/>
    </row>
    <row r="14" spans="1:58" s="160" customFormat="1" ht="15.75" customHeight="1" x14ac:dyDescent="0.35">
      <c r="A14" s="1131"/>
      <c r="B14" s="1131"/>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1"/>
      <c r="AS14" s="1131"/>
      <c r="AT14" s="367"/>
      <c r="AU14" s="367"/>
      <c r="AV14" s="367"/>
      <c r="AW14" s="367"/>
      <c r="AX14" s="367"/>
      <c r="AY14" s="367"/>
      <c r="AZ14" s="367"/>
      <c r="BA14" s="367"/>
      <c r="BB14" s="367"/>
      <c r="BC14" s="367"/>
      <c r="BD14" s="367"/>
      <c r="BE14" s="367"/>
      <c r="BF14" s="367"/>
    </row>
    <row r="15" spans="1:58" s="368" customFormat="1" ht="33.75" customHeight="1" x14ac:dyDescent="0.25">
      <c r="A15" s="1132" t="s">
        <v>179</v>
      </c>
      <c r="B15" s="1132" t="s">
        <v>31</v>
      </c>
      <c r="C15" s="1132" t="s">
        <v>4</v>
      </c>
      <c r="D15" s="1132" t="s">
        <v>166</v>
      </c>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c r="AL15" s="1132"/>
      <c r="AM15" s="1132"/>
      <c r="AN15" s="1132"/>
      <c r="AO15" s="1132"/>
      <c r="AP15" s="1132"/>
      <c r="AQ15" s="1132"/>
      <c r="AR15" s="1132"/>
      <c r="AS15" s="1132"/>
    </row>
    <row r="16" spans="1:58" ht="145.5" customHeight="1" x14ac:dyDescent="0.35">
      <c r="A16" s="1132"/>
      <c r="B16" s="1132"/>
      <c r="C16" s="1132"/>
      <c r="D16" s="1132" t="s">
        <v>58</v>
      </c>
      <c r="E16" s="1132"/>
      <c r="F16" s="1132"/>
      <c r="G16" s="1132"/>
      <c r="H16" s="1132"/>
      <c r="I16" s="1132"/>
      <c r="J16" s="1132" t="s">
        <v>59</v>
      </c>
      <c r="K16" s="1132"/>
      <c r="L16" s="1132"/>
      <c r="M16" s="1132"/>
      <c r="N16" s="1132"/>
      <c r="O16" s="1132"/>
      <c r="P16" s="1132" t="s">
        <v>52</v>
      </c>
      <c r="Q16" s="1132"/>
      <c r="R16" s="1132"/>
      <c r="S16" s="1132"/>
      <c r="T16" s="1132"/>
      <c r="U16" s="1132"/>
      <c r="V16" s="1132" t="s">
        <v>53</v>
      </c>
      <c r="W16" s="1132"/>
      <c r="X16" s="1132"/>
      <c r="Y16" s="1132"/>
      <c r="Z16" s="1132"/>
      <c r="AA16" s="1132"/>
      <c r="AB16" s="1132" t="s">
        <v>33</v>
      </c>
      <c r="AC16" s="1132"/>
      <c r="AD16" s="1132"/>
      <c r="AE16" s="1132"/>
      <c r="AF16" s="1132"/>
      <c r="AG16" s="1132"/>
      <c r="AH16" s="1132" t="s">
        <v>50</v>
      </c>
      <c r="AI16" s="1132"/>
      <c r="AJ16" s="1132"/>
      <c r="AK16" s="1132"/>
      <c r="AL16" s="1132"/>
      <c r="AM16" s="1132"/>
      <c r="AN16" s="1132" t="s">
        <v>51</v>
      </c>
      <c r="AO16" s="1132"/>
      <c r="AP16" s="1132"/>
      <c r="AQ16" s="1132"/>
      <c r="AR16" s="1132"/>
      <c r="AS16" s="1132"/>
    </row>
    <row r="17" spans="1:45" s="369" customFormat="1" ht="192" customHeight="1" x14ac:dyDescent="0.35">
      <c r="A17" s="1132"/>
      <c r="B17" s="1132"/>
      <c r="C17" s="1132"/>
      <c r="D17" s="1133" t="s">
        <v>927</v>
      </c>
      <c r="E17" s="1133"/>
      <c r="F17" s="1133" t="s">
        <v>676</v>
      </c>
      <c r="G17" s="1133"/>
      <c r="H17" s="1133" t="s">
        <v>677</v>
      </c>
      <c r="I17" s="1133"/>
      <c r="J17" s="1133" t="s">
        <v>678</v>
      </c>
      <c r="K17" s="1133"/>
      <c r="L17" s="1133" t="s">
        <v>679</v>
      </c>
      <c r="M17" s="1133"/>
      <c r="N17" s="1133" t="s">
        <v>680</v>
      </c>
      <c r="O17" s="1133"/>
      <c r="P17" s="1133" t="s">
        <v>681</v>
      </c>
      <c r="Q17" s="1133"/>
      <c r="R17" s="1133" t="s">
        <v>682</v>
      </c>
      <c r="S17" s="1133"/>
      <c r="T17" s="1133" t="s">
        <v>1041</v>
      </c>
      <c r="U17" s="1133"/>
      <c r="V17" s="1134" t="s">
        <v>60</v>
      </c>
      <c r="W17" s="1134"/>
      <c r="X17" s="1134" t="s">
        <v>60</v>
      </c>
      <c r="Y17" s="1134"/>
      <c r="Z17" s="1134" t="s">
        <v>0</v>
      </c>
      <c r="AA17" s="1134"/>
      <c r="AB17" s="1134" t="s">
        <v>60</v>
      </c>
      <c r="AC17" s="1134"/>
      <c r="AD17" s="1134" t="s">
        <v>60</v>
      </c>
      <c r="AE17" s="1134"/>
      <c r="AF17" s="1134" t="s">
        <v>0</v>
      </c>
      <c r="AG17" s="1134"/>
      <c r="AH17" s="1134" t="s">
        <v>60</v>
      </c>
      <c r="AI17" s="1134"/>
      <c r="AJ17" s="1134" t="s">
        <v>60</v>
      </c>
      <c r="AK17" s="1134"/>
      <c r="AL17" s="1134" t="s">
        <v>0</v>
      </c>
      <c r="AM17" s="1134"/>
      <c r="AN17" s="1134" t="s">
        <v>60</v>
      </c>
      <c r="AO17" s="1134"/>
      <c r="AP17" s="1134" t="s">
        <v>60</v>
      </c>
      <c r="AQ17" s="1134"/>
      <c r="AR17" s="1134" t="s">
        <v>0</v>
      </c>
      <c r="AS17" s="1134"/>
    </row>
    <row r="18" spans="1:45" ht="179.25" customHeight="1" x14ac:dyDescent="0.35">
      <c r="A18" s="1132"/>
      <c r="B18" s="1132"/>
      <c r="C18" s="1132"/>
      <c r="D18" s="161" t="s">
        <v>683</v>
      </c>
      <c r="E18" s="161" t="s">
        <v>163</v>
      </c>
      <c r="F18" s="161" t="s">
        <v>683</v>
      </c>
      <c r="G18" s="161" t="s">
        <v>163</v>
      </c>
      <c r="H18" s="161" t="s">
        <v>683</v>
      </c>
      <c r="I18" s="161" t="s">
        <v>163</v>
      </c>
      <c r="J18" s="161" t="s">
        <v>683</v>
      </c>
      <c r="K18" s="161" t="s">
        <v>163</v>
      </c>
      <c r="L18" s="161" t="s">
        <v>683</v>
      </c>
      <c r="M18" s="161" t="s">
        <v>163</v>
      </c>
      <c r="N18" s="161" t="s">
        <v>683</v>
      </c>
      <c r="O18" s="161" t="s">
        <v>163</v>
      </c>
      <c r="P18" s="161" t="s">
        <v>683</v>
      </c>
      <c r="Q18" s="161" t="s">
        <v>163</v>
      </c>
      <c r="R18" s="161" t="s">
        <v>683</v>
      </c>
      <c r="S18" s="161" t="s">
        <v>163</v>
      </c>
      <c r="T18" s="161" t="s">
        <v>683</v>
      </c>
      <c r="U18" s="161" t="s">
        <v>163</v>
      </c>
      <c r="V18" s="161" t="s">
        <v>683</v>
      </c>
      <c r="W18" s="161" t="s">
        <v>163</v>
      </c>
      <c r="X18" s="161" t="s">
        <v>683</v>
      </c>
      <c r="Y18" s="161" t="s">
        <v>163</v>
      </c>
      <c r="Z18" s="161" t="s">
        <v>683</v>
      </c>
      <c r="AA18" s="161" t="s">
        <v>163</v>
      </c>
      <c r="AB18" s="161" t="s">
        <v>683</v>
      </c>
      <c r="AC18" s="161" t="s">
        <v>163</v>
      </c>
      <c r="AD18" s="161" t="s">
        <v>683</v>
      </c>
      <c r="AE18" s="161" t="s">
        <v>163</v>
      </c>
      <c r="AF18" s="161" t="s">
        <v>683</v>
      </c>
      <c r="AG18" s="161" t="s">
        <v>163</v>
      </c>
      <c r="AH18" s="161" t="s">
        <v>683</v>
      </c>
      <c r="AI18" s="161" t="s">
        <v>163</v>
      </c>
      <c r="AJ18" s="161" t="s">
        <v>683</v>
      </c>
      <c r="AK18" s="161" t="s">
        <v>163</v>
      </c>
      <c r="AL18" s="161" t="s">
        <v>683</v>
      </c>
      <c r="AM18" s="161" t="s">
        <v>163</v>
      </c>
      <c r="AN18" s="161" t="s">
        <v>683</v>
      </c>
      <c r="AO18" s="161" t="s">
        <v>163</v>
      </c>
      <c r="AP18" s="161" t="s">
        <v>683</v>
      </c>
      <c r="AQ18" s="161" t="s">
        <v>163</v>
      </c>
      <c r="AR18" s="161" t="s">
        <v>683</v>
      </c>
      <c r="AS18" s="161" t="s">
        <v>163</v>
      </c>
    </row>
    <row r="19" spans="1:45" x14ac:dyDescent="0.35">
      <c r="A19" s="298">
        <v>1</v>
      </c>
      <c r="B19" s="370">
        <v>2</v>
      </c>
      <c r="C19" s="298">
        <v>3</v>
      </c>
      <c r="D19" s="371" t="s">
        <v>107</v>
      </c>
      <c r="E19" s="371" t="s">
        <v>114</v>
      </c>
      <c r="F19" s="371" t="s">
        <v>115</v>
      </c>
      <c r="G19" s="371" t="s">
        <v>152</v>
      </c>
      <c r="H19" s="371" t="s">
        <v>173</v>
      </c>
      <c r="I19" s="371" t="s">
        <v>173</v>
      </c>
      <c r="J19" s="371" t="s">
        <v>100</v>
      </c>
      <c r="K19" s="371" t="s">
        <v>101</v>
      </c>
      <c r="L19" s="371" t="s">
        <v>116</v>
      </c>
      <c r="M19" s="371" t="s">
        <v>117</v>
      </c>
      <c r="N19" s="371" t="s">
        <v>523</v>
      </c>
      <c r="O19" s="371" t="s">
        <v>812</v>
      </c>
      <c r="P19" s="371" t="s">
        <v>103</v>
      </c>
      <c r="Q19" s="371" t="s">
        <v>104</v>
      </c>
      <c r="R19" s="371" t="s">
        <v>105</v>
      </c>
      <c r="S19" s="371" t="s">
        <v>106</v>
      </c>
      <c r="T19" s="371" t="s">
        <v>172</v>
      </c>
      <c r="U19" s="371" t="s">
        <v>172</v>
      </c>
      <c r="V19" s="371" t="s">
        <v>119</v>
      </c>
      <c r="W19" s="371" t="s">
        <v>120</v>
      </c>
      <c r="X19" s="371" t="s">
        <v>153</v>
      </c>
      <c r="Y19" s="371" t="s">
        <v>154</v>
      </c>
      <c r="Z19" s="371" t="s">
        <v>174</v>
      </c>
      <c r="AA19" s="371" t="s">
        <v>174</v>
      </c>
      <c r="AB19" s="371" t="s">
        <v>122</v>
      </c>
      <c r="AC19" s="371" t="s">
        <v>123</v>
      </c>
      <c r="AD19" s="371" t="s">
        <v>127</v>
      </c>
      <c r="AE19" s="371" t="s">
        <v>128</v>
      </c>
      <c r="AF19" s="371" t="s">
        <v>175</v>
      </c>
      <c r="AG19" s="371" t="s">
        <v>175</v>
      </c>
      <c r="AH19" s="371" t="s">
        <v>155</v>
      </c>
      <c r="AI19" s="371" t="s">
        <v>156</v>
      </c>
      <c r="AJ19" s="371" t="s">
        <v>157</v>
      </c>
      <c r="AK19" s="371" t="s">
        <v>158</v>
      </c>
      <c r="AL19" s="371" t="s">
        <v>176</v>
      </c>
      <c r="AM19" s="371" t="s">
        <v>176</v>
      </c>
      <c r="AN19" s="371" t="s">
        <v>159</v>
      </c>
      <c r="AO19" s="371" t="s">
        <v>160</v>
      </c>
      <c r="AP19" s="371" t="s">
        <v>161</v>
      </c>
      <c r="AQ19" s="371" t="s">
        <v>162</v>
      </c>
      <c r="AR19" s="371" t="s">
        <v>177</v>
      </c>
      <c r="AS19" s="371" t="s">
        <v>177</v>
      </c>
    </row>
    <row r="20" spans="1:45" s="436" customFormat="1" ht="103.5" customHeight="1" x14ac:dyDescent="0.25">
      <c r="A20" s="266" t="s">
        <v>711</v>
      </c>
      <c r="B20" s="267" t="s">
        <v>684</v>
      </c>
      <c r="C20" s="261" t="s">
        <v>621</v>
      </c>
      <c r="D20" s="261" t="s">
        <v>621</v>
      </c>
      <c r="E20" s="261" t="s">
        <v>621</v>
      </c>
      <c r="F20" s="261" t="s">
        <v>621</v>
      </c>
      <c r="G20" s="261" t="s">
        <v>621</v>
      </c>
      <c r="H20" s="261" t="str">
        <f>H29</f>
        <v>нд</v>
      </c>
      <c r="I20" s="261" t="s">
        <v>621</v>
      </c>
      <c r="J20" s="261" t="str">
        <f>J33</f>
        <v>нд</v>
      </c>
      <c r="K20" s="261" t="str">
        <f>K33</f>
        <v>нд</v>
      </c>
      <c r="L20" s="261">
        <f>L22</f>
        <v>36</v>
      </c>
      <c r="M20" s="261" t="s">
        <v>621</v>
      </c>
      <c r="N20" s="254">
        <f>N22</f>
        <v>3.1389999999999998</v>
      </c>
      <c r="O20" s="261" t="s">
        <v>621</v>
      </c>
      <c r="P20" s="261" t="s">
        <v>621</v>
      </c>
      <c r="Q20" s="261" t="s">
        <v>621</v>
      </c>
      <c r="R20" s="261" t="s">
        <v>621</v>
      </c>
      <c r="S20" s="261" t="s">
        <v>621</v>
      </c>
      <c r="T20" s="261">
        <f>T22</f>
        <v>2824</v>
      </c>
      <c r="U20" s="261" t="s">
        <v>621</v>
      </c>
      <c r="V20" s="261" t="s">
        <v>621</v>
      </c>
      <c r="W20" s="261" t="s">
        <v>621</v>
      </c>
      <c r="X20" s="261" t="s">
        <v>621</v>
      </c>
      <c r="Y20" s="261" t="s">
        <v>621</v>
      </c>
      <c r="Z20" s="261" t="s">
        <v>621</v>
      </c>
      <c r="AA20" s="261" t="s">
        <v>621</v>
      </c>
      <c r="AB20" s="261" t="s">
        <v>621</v>
      </c>
      <c r="AC20" s="261" t="s">
        <v>621</v>
      </c>
      <c r="AD20" s="261" t="s">
        <v>621</v>
      </c>
      <c r="AE20" s="261" t="s">
        <v>621</v>
      </c>
      <c r="AF20" s="261" t="s">
        <v>621</v>
      </c>
      <c r="AG20" s="261" t="s">
        <v>621</v>
      </c>
      <c r="AH20" s="261" t="s">
        <v>621</v>
      </c>
      <c r="AI20" s="261" t="s">
        <v>621</v>
      </c>
      <c r="AJ20" s="261" t="s">
        <v>621</v>
      </c>
      <c r="AK20" s="261" t="s">
        <v>621</v>
      </c>
      <c r="AL20" s="261" t="s">
        <v>621</v>
      </c>
      <c r="AM20" s="261" t="s">
        <v>621</v>
      </c>
      <c r="AN20" s="261" t="s">
        <v>621</v>
      </c>
      <c r="AO20" s="261" t="s">
        <v>621</v>
      </c>
      <c r="AP20" s="261" t="s">
        <v>621</v>
      </c>
      <c r="AQ20" s="261" t="s">
        <v>621</v>
      </c>
      <c r="AR20" s="261" t="s">
        <v>621</v>
      </c>
      <c r="AS20" s="261" t="s">
        <v>621</v>
      </c>
    </row>
    <row r="21" spans="1:45" s="236" customFormat="1" ht="1.5" customHeight="1" x14ac:dyDescent="0.45">
      <c r="A21" s="268" t="s">
        <v>712</v>
      </c>
      <c r="B21" s="425" t="s">
        <v>685</v>
      </c>
      <c r="C21" s="262" t="s">
        <v>621</v>
      </c>
      <c r="D21" s="262" t="s">
        <v>621</v>
      </c>
      <c r="E21" s="262" t="s">
        <v>621</v>
      </c>
      <c r="F21" s="262" t="s">
        <v>621</v>
      </c>
      <c r="G21" s="262" t="s">
        <v>621</v>
      </c>
      <c r="H21" s="262" t="s">
        <v>621</v>
      </c>
      <c r="I21" s="262" t="s">
        <v>621</v>
      </c>
      <c r="J21" s="262" t="s">
        <v>621</v>
      </c>
      <c r="K21" s="262" t="s">
        <v>621</v>
      </c>
      <c r="L21" s="262">
        <v>31</v>
      </c>
      <c r="M21" s="262" t="s">
        <v>621</v>
      </c>
      <c r="N21" s="256">
        <v>3.8319999999999999</v>
      </c>
      <c r="O21" s="262" t="s">
        <v>621</v>
      </c>
      <c r="P21" s="262" t="s">
        <v>621</v>
      </c>
      <c r="Q21" s="262" t="s">
        <v>621</v>
      </c>
      <c r="R21" s="262" t="s">
        <v>621</v>
      </c>
      <c r="S21" s="262" t="s">
        <v>621</v>
      </c>
      <c r="T21" s="262">
        <v>2824</v>
      </c>
      <c r="U21" s="262" t="s">
        <v>621</v>
      </c>
      <c r="V21" s="262" t="s">
        <v>621</v>
      </c>
      <c r="W21" s="262" t="s">
        <v>621</v>
      </c>
      <c r="X21" s="262" t="s">
        <v>621</v>
      </c>
      <c r="Y21" s="262" t="s">
        <v>621</v>
      </c>
      <c r="Z21" s="262" t="s">
        <v>621</v>
      </c>
      <c r="AA21" s="262" t="s">
        <v>621</v>
      </c>
      <c r="AB21" s="262" t="s">
        <v>621</v>
      </c>
      <c r="AC21" s="262" t="s">
        <v>621</v>
      </c>
      <c r="AD21" s="262" t="s">
        <v>621</v>
      </c>
      <c r="AE21" s="262" t="s">
        <v>621</v>
      </c>
      <c r="AF21" s="262" t="s">
        <v>621</v>
      </c>
      <c r="AG21" s="262" t="s">
        <v>621</v>
      </c>
      <c r="AH21" s="262" t="s">
        <v>621</v>
      </c>
      <c r="AI21" s="262" t="s">
        <v>621</v>
      </c>
      <c r="AJ21" s="262" t="s">
        <v>621</v>
      </c>
      <c r="AK21" s="262" t="s">
        <v>621</v>
      </c>
      <c r="AL21" s="262" t="s">
        <v>621</v>
      </c>
      <c r="AM21" s="262" t="s">
        <v>621</v>
      </c>
      <c r="AN21" s="262" t="s">
        <v>621</v>
      </c>
      <c r="AO21" s="262" t="s">
        <v>621</v>
      </c>
      <c r="AP21" s="262" t="s">
        <v>621</v>
      </c>
      <c r="AQ21" s="262" t="s">
        <v>621</v>
      </c>
      <c r="AR21" s="262" t="s">
        <v>621</v>
      </c>
      <c r="AS21" s="262" t="s">
        <v>621</v>
      </c>
    </row>
    <row r="22" spans="1:45" s="236" customFormat="1" ht="124.5" customHeight="1" x14ac:dyDescent="0.45">
      <c r="A22" s="268" t="s">
        <v>713</v>
      </c>
      <c r="B22" s="425" t="s">
        <v>686</v>
      </c>
      <c r="C22" s="262" t="s">
        <v>621</v>
      </c>
      <c r="D22" s="262" t="s">
        <v>621</v>
      </c>
      <c r="E22" s="262" t="s">
        <v>621</v>
      </c>
      <c r="F22" s="262" t="s">
        <v>621</v>
      </c>
      <c r="G22" s="262" t="s">
        <v>621</v>
      </c>
      <c r="H22" s="262" t="s">
        <v>621</v>
      </c>
      <c r="I22" s="262" t="s">
        <v>621</v>
      </c>
      <c r="J22" s="262" t="s">
        <v>621</v>
      </c>
      <c r="K22" s="262" t="s">
        <v>621</v>
      </c>
      <c r="L22" s="262">
        <f>L28</f>
        <v>36</v>
      </c>
      <c r="M22" s="262" t="s">
        <v>621</v>
      </c>
      <c r="N22" s="256">
        <f>N28</f>
        <v>3.1389999999999998</v>
      </c>
      <c r="O22" s="262" t="s">
        <v>621</v>
      </c>
      <c r="P22" s="262" t="s">
        <v>621</v>
      </c>
      <c r="Q22" s="262" t="s">
        <v>621</v>
      </c>
      <c r="R22" s="262" t="s">
        <v>621</v>
      </c>
      <c r="S22" s="262" t="s">
        <v>621</v>
      </c>
      <c r="T22" s="262">
        <v>2824</v>
      </c>
      <c r="U22" s="262" t="s">
        <v>621</v>
      </c>
      <c r="V22" s="262" t="s">
        <v>621</v>
      </c>
      <c r="W22" s="262" t="s">
        <v>621</v>
      </c>
      <c r="X22" s="262" t="s">
        <v>621</v>
      </c>
      <c r="Y22" s="262" t="s">
        <v>621</v>
      </c>
      <c r="Z22" s="262" t="s">
        <v>621</v>
      </c>
      <c r="AA22" s="262" t="s">
        <v>621</v>
      </c>
      <c r="AB22" s="262" t="s">
        <v>621</v>
      </c>
      <c r="AC22" s="262" t="s">
        <v>621</v>
      </c>
      <c r="AD22" s="262" t="s">
        <v>621</v>
      </c>
      <c r="AE22" s="262" t="s">
        <v>621</v>
      </c>
      <c r="AF22" s="262" t="s">
        <v>621</v>
      </c>
      <c r="AG22" s="262" t="s">
        <v>621</v>
      </c>
      <c r="AH22" s="262" t="s">
        <v>621</v>
      </c>
      <c r="AI22" s="262" t="s">
        <v>621</v>
      </c>
      <c r="AJ22" s="262" t="s">
        <v>621</v>
      </c>
      <c r="AK22" s="262" t="s">
        <v>621</v>
      </c>
      <c r="AL22" s="262" t="s">
        <v>621</v>
      </c>
      <c r="AM22" s="262" t="s">
        <v>621</v>
      </c>
      <c r="AN22" s="262" t="s">
        <v>621</v>
      </c>
      <c r="AO22" s="262" t="s">
        <v>621</v>
      </c>
      <c r="AP22" s="262" t="s">
        <v>621</v>
      </c>
      <c r="AQ22" s="262" t="s">
        <v>621</v>
      </c>
      <c r="AR22" s="262" t="s">
        <v>621</v>
      </c>
      <c r="AS22" s="262" t="s">
        <v>621</v>
      </c>
    </row>
    <row r="23" spans="1:45" s="236" customFormat="1" ht="300.75" hidden="1" x14ac:dyDescent="0.45">
      <c r="A23" s="268" t="s">
        <v>714</v>
      </c>
      <c r="B23" s="437" t="s">
        <v>687</v>
      </c>
      <c r="C23" s="262" t="s">
        <v>621</v>
      </c>
      <c r="D23" s="262" t="s">
        <v>621</v>
      </c>
      <c r="E23" s="262" t="s">
        <v>621</v>
      </c>
      <c r="F23" s="262" t="s">
        <v>621</v>
      </c>
      <c r="G23" s="262" t="s">
        <v>621</v>
      </c>
      <c r="H23" s="262" t="s">
        <v>621</v>
      </c>
      <c r="I23" s="262" t="s">
        <v>621</v>
      </c>
      <c r="J23" s="262" t="s">
        <v>621</v>
      </c>
      <c r="K23" s="262" t="s">
        <v>621</v>
      </c>
      <c r="L23" s="262">
        <v>31</v>
      </c>
      <c r="M23" s="262" t="s">
        <v>621</v>
      </c>
      <c r="N23" s="256">
        <v>3.8319999999999999</v>
      </c>
      <c r="O23" s="262" t="s">
        <v>621</v>
      </c>
      <c r="P23" s="262" t="s">
        <v>621</v>
      </c>
      <c r="Q23" s="262" t="s">
        <v>621</v>
      </c>
      <c r="R23" s="262" t="s">
        <v>621</v>
      </c>
      <c r="S23" s="262" t="s">
        <v>621</v>
      </c>
      <c r="T23" s="262" t="str">
        <f>U23</f>
        <v>нд</v>
      </c>
      <c r="U23" s="262" t="s">
        <v>621</v>
      </c>
      <c r="V23" s="262" t="s">
        <v>621</v>
      </c>
      <c r="W23" s="262" t="s">
        <v>621</v>
      </c>
      <c r="X23" s="262" t="s">
        <v>621</v>
      </c>
      <c r="Y23" s="262" t="s">
        <v>621</v>
      </c>
      <c r="Z23" s="262" t="s">
        <v>621</v>
      </c>
      <c r="AA23" s="262" t="s">
        <v>621</v>
      </c>
      <c r="AB23" s="262" t="s">
        <v>621</v>
      </c>
      <c r="AC23" s="262" t="s">
        <v>621</v>
      </c>
      <c r="AD23" s="262" t="s">
        <v>621</v>
      </c>
      <c r="AE23" s="262" t="s">
        <v>621</v>
      </c>
      <c r="AF23" s="262" t="s">
        <v>621</v>
      </c>
      <c r="AG23" s="262" t="s">
        <v>621</v>
      </c>
      <c r="AH23" s="262" t="s">
        <v>621</v>
      </c>
      <c r="AI23" s="262" t="s">
        <v>621</v>
      </c>
      <c r="AJ23" s="262" t="s">
        <v>621</v>
      </c>
      <c r="AK23" s="262" t="s">
        <v>621</v>
      </c>
      <c r="AL23" s="262" t="s">
        <v>621</v>
      </c>
      <c r="AM23" s="262" t="s">
        <v>621</v>
      </c>
      <c r="AN23" s="262" t="s">
        <v>621</v>
      </c>
      <c r="AO23" s="262" t="s">
        <v>621</v>
      </c>
      <c r="AP23" s="262" t="s">
        <v>621</v>
      </c>
      <c r="AQ23" s="262" t="s">
        <v>621</v>
      </c>
      <c r="AR23" s="262" t="s">
        <v>621</v>
      </c>
      <c r="AS23" s="262" t="s">
        <v>621</v>
      </c>
    </row>
    <row r="24" spans="1:45" s="236" customFormat="1" ht="120" hidden="1" x14ac:dyDescent="0.45">
      <c r="A24" s="268" t="s">
        <v>715</v>
      </c>
      <c r="B24" s="425" t="s">
        <v>688</v>
      </c>
      <c r="C24" s="262" t="s">
        <v>621</v>
      </c>
      <c r="D24" s="262" t="s">
        <v>621</v>
      </c>
      <c r="E24" s="262" t="s">
        <v>621</v>
      </c>
      <c r="F24" s="262" t="s">
        <v>621</v>
      </c>
      <c r="G24" s="262" t="s">
        <v>621</v>
      </c>
      <c r="H24" s="262" t="s">
        <v>621</v>
      </c>
      <c r="I24" s="262" t="s">
        <v>621</v>
      </c>
      <c r="J24" s="262" t="s">
        <v>621</v>
      </c>
      <c r="K24" s="262" t="s">
        <v>621</v>
      </c>
      <c r="L24" s="262">
        <v>31</v>
      </c>
      <c r="M24" s="262" t="s">
        <v>621</v>
      </c>
      <c r="N24" s="256">
        <v>3.8319999999999999</v>
      </c>
      <c r="O24" s="262" t="s">
        <v>621</v>
      </c>
      <c r="P24" s="262" t="s">
        <v>621</v>
      </c>
      <c r="Q24" s="262" t="s">
        <v>621</v>
      </c>
      <c r="R24" s="262" t="s">
        <v>621</v>
      </c>
      <c r="S24" s="262" t="s">
        <v>621</v>
      </c>
      <c r="T24" s="262" t="str">
        <f>U24</f>
        <v>нд</v>
      </c>
      <c r="U24" s="262" t="s">
        <v>621</v>
      </c>
      <c r="V24" s="262" t="s">
        <v>621</v>
      </c>
      <c r="W24" s="262" t="s">
        <v>621</v>
      </c>
      <c r="X24" s="262" t="s">
        <v>621</v>
      </c>
      <c r="Y24" s="262" t="s">
        <v>621</v>
      </c>
      <c r="Z24" s="262" t="s">
        <v>621</v>
      </c>
      <c r="AA24" s="262" t="s">
        <v>621</v>
      </c>
      <c r="AB24" s="262" t="s">
        <v>621</v>
      </c>
      <c r="AC24" s="262" t="s">
        <v>621</v>
      </c>
      <c r="AD24" s="262" t="s">
        <v>621</v>
      </c>
      <c r="AE24" s="262" t="s">
        <v>621</v>
      </c>
      <c r="AF24" s="262" t="s">
        <v>621</v>
      </c>
      <c r="AG24" s="262" t="s">
        <v>621</v>
      </c>
      <c r="AH24" s="262" t="s">
        <v>621</v>
      </c>
      <c r="AI24" s="262" t="s">
        <v>621</v>
      </c>
      <c r="AJ24" s="262" t="s">
        <v>621</v>
      </c>
      <c r="AK24" s="262" t="s">
        <v>621</v>
      </c>
      <c r="AL24" s="262" t="s">
        <v>621</v>
      </c>
      <c r="AM24" s="262" t="s">
        <v>621</v>
      </c>
      <c r="AN24" s="262" t="s">
        <v>621</v>
      </c>
      <c r="AO24" s="262" t="s">
        <v>621</v>
      </c>
      <c r="AP24" s="262" t="s">
        <v>621</v>
      </c>
      <c r="AQ24" s="262" t="s">
        <v>621</v>
      </c>
      <c r="AR24" s="262" t="s">
        <v>621</v>
      </c>
      <c r="AS24" s="262" t="s">
        <v>621</v>
      </c>
    </row>
    <row r="25" spans="1:45" s="236" customFormat="1" ht="150" hidden="1" x14ac:dyDescent="0.45">
      <c r="A25" s="268" t="s">
        <v>716</v>
      </c>
      <c r="B25" s="425" t="s">
        <v>689</v>
      </c>
      <c r="C25" s="262" t="s">
        <v>621</v>
      </c>
      <c r="D25" s="262" t="s">
        <v>621</v>
      </c>
      <c r="E25" s="262" t="s">
        <v>621</v>
      </c>
      <c r="F25" s="262" t="s">
        <v>621</v>
      </c>
      <c r="G25" s="262" t="s">
        <v>621</v>
      </c>
      <c r="H25" s="262" t="s">
        <v>621</v>
      </c>
      <c r="I25" s="262" t="s">
        <v>621</v>
      </c>
      <c r="J25" s="262" t="s">
        <v>621</v>
      </c>
      <c r="K25" s="262" t="s">
        <v>621</v>
      </c>
      <c r="L25" s="262">
        <v>31</v>
      </c>
      <c r="M25" s="262" t="s">
        <v>621</v>
      </c>
      <c r="N25" s="256">
        <v>3.8319999999999999</v>
      </c>
      <c r="O25" s="262" t="s">
        <v>621</v>
      </c>
      <c r="P25" s="262" t="s">
        <v>621</v>
      </c>
      <c r="Q25" s="262" t="s">
        <v>621</v>
      </c>
      <c r="R25" s="262" t="s">
        <v>621</v>
      </c>
      <c r="S25" s="262" t="s">
        <v>621</v>
      </c>
      <c r="T25" s="262" t="str">
        <f>U25</f>
        <v>нд</v>
      </c>
      <c r="U25" s="262" t="s">
        <v>621</v>
      </c>
      <c r="V25" s="262" t="s">
        <v>621</v>
      </c>
      <c r="W25" s="262" t="s">
        <v>621</v>
      </c>
      <c r="X25" s="262" t="s">
        <v>621</v>
      </c>
      <c r="Y25" s="262" t="s">
        <v>621</v>
      </c>
      <c r="Z25" s="262" t="s">
        <v>621</v>
      </c>
      <c r="AA25" s="262" t="s">
        <v>621</v>
      </c>
      <c r="AB25" s="262" t="s">
        <v>621</v>
      </c>
      <c r="AC25" s="262" t="s">
        <v>621</v>
      </c>
      <c r="AD25" s="262" t="s">
        <v>621</v>
      </c>
      <c r="AE25" s="262" t="s">
        <v>621</v>
      </c>
      <c r="AF25" s="262" t="s">
        <v>621</v>
      </c>
      <c r="AG25" s="262" t="s">
        <v>621</v>
      </c>
      <c r="AH25" s="262" t="s">
        <v>621</v>
      </c>
      <c r="AI25" s="262" t="s">
        <v>621</v>
      </c>
      <c r="AJ25" s="262" t="s">
        <v>621</v>
      </c>
      <c r="AK25" s="262" t="s">
        <v>621</v>
      </c>
      <c r="AL25" s="262" t="s">
        <v>621</v>
      </c>
      <c r="AM25" s="262" t="s">
        <v>621</v>
      </c>
      <c r="AN25" s="262" t="s">
        <v>621</v>
      </c>
      <c r="AO25" s="262" t="s">
        <v>621</v>
      </c>
      <c r="AP25" s="262" t="s">
        <v>621</v>
      </c>
      <c r="AQ25" s="262" t="s">
        <v>621</v>
      </c>
      <c r="AR25" s="262" t="s">
        <v>621</v>
      </c>
      <c r="AS25" s="262" t="s">
        <v>621</v>
      </c>
    </row>
    <row r="26" spans="1:45" s="236" customFormat="1" ht="90.75" hidden="1" x14ac:dyDescent="0.45">
      <c r="A26" s="268" t="s">
        <v>717</v>
      </c>
      <c r="B26" s="437" t="s">
        <v>690</v>
      </c>
      <c r="C26" s="262" t="s">
        <v>621</v>
      </c>
      <c r="D26" s="262" t="s">
        <v>621</v>
      </c>
      <c r="E26" s="262" t="s">
        <v>621</v>
      </c>
      <c r="F26" s="262" t="s">
        <v>621</v>
      </c>
      <c r="G26" s="262" t="s">
        <v>621</v>
      </c>
      <c r="H26" s="262" t="s">
        <v>621</v>
      </c>
      <c r="I26" s="262" t="s">
        <v>621</v>
      </c>
      <c r="J26" s="262" t="s">
        <v>621</v>
      </c>
      <c r="K26" s="262" t="s">
        <v>621</v>
      </c>
      <c r="L26" s="262">
        <v>31</v>
      </c>
      <c r="M26" s="262" t="s">
        <v>621</v>
      </c>
      <c r="N26" s="256">
        <v>3.8319999999999999</v>
      </c>
      <c r="O26" s="262" t="s">
        <v>621</v>
      </c>
      <c r="P26" s="262" t="s">
        <v>621</v>
      </c>
      <c r="Q26" s="262" t="s">
        <v>621</v>
      </c>
      <c r="R26" s="262" t="s">
        <v>621</v>
      </c>
      <c r="S26" s="262" t="s">
        <v>621</v>
      </c>
      <c r="T26" s="262" t="str">
        <f>U26</f>
        <v>нд</v>
      </c>
      <c r="U26" s="262" t="s">
        <v>621</v>
      </c>
      <c r="V26" s="262" t="s">
        <v>621</v>
      </c>
      <c r="W26" s="262" t="s">
        <v>621</v>
      </c>
      <c r="X26" s="262" t="s">
        <v>621</v>
      </c>
      <c r="Y26" s="262" t="s">
        <v>621</v>
      </c>
      <c r="Z26" s="262" t="s">
        <v>621</v>
      </c>
      <c r="AA26" s="262" t="s">
        <v>621</v>
      </c>
      <c r="AB26" s="262" t="s">
        <v>621</v>
      </c>
      <c r="AC26" s="262" t="s">
        <v>621</v>
      </c>
      <c r="AD26" s="262" t="s">
        <v>621</v>
      </c>
      <c r="AE26" s="262" t="s">
        <v>621</v>
      </c>
      <c r="AF26" s="262" t="s">
        <v>621</v>
      </c>
      <c r="AG26" s="262" t="s">
        <v>621</v>
      </c>
      <c r="AH26" s="262" t="s">
        <v>621</v>
      </c>
      <c r="AI26" s="262" t="s">
        <v>621</v>
      </c>
      <c r="AJ26" s="262" t="s">
        <v>621</v>
      </c>
      <c r="AK26" s="262" t="s">
        <v>621</v>
      </c>
      <c r="AL26" s="262" t="s">
        <v>621</v>
      </c>
      <c r="AM26" s="262" t="s">
        <v>621</v>
      </c>
      <c r="AN26" s="262" t="s">
        <v>621</v>
      </c>
      <c r="AO26" s="262" t="s">
        <v>621</v>
      </c>
      <c r="AP26" s="262" t="s">
        <v>621</v>
      </c>
      <c r="AQ26" s="262" t="s">
        <v>621</v>
      </c>
      <c r="AR26" s="262" t="s">
        <v>621</v>
      </c>
      <c r="AS26" s="262" t="s">
        <v>621</v>
      </c>
    </row>
    <row r="27" spans="1:45" s="236" customFormat="1" ht="5.25" hidden="1" customHeight="1" x14ac:dyDescent="0.45">
      <c r="A27" s="316"/>
      <c r="B27" s="426"/>
      <c r="C27" s="262" t="s">
        <v>621</v>
      </c>
      <c r="D27" s="262" t="s">
        <v>621</v>
      </c>
      <c r="E27" s="262" t="s">
        <v>621</v>
      </c>
      <c r="F27" s="262" t="s">
        <v>621</v>
      </c>
      <c r="G27" s="262" t="s">
        <v>621</v>
      </c>
      <c r="H27" s="262" t="s">
        <v>621</v>
      </c>
      <c r="I27" s="262" t="s">
        <v>621</v>
      </c>
      <c r="J27" s="262" t="s">
        <v>621</v>
      </c>
      <c r="K27" s="262" t="s">
        <v>621</v>
      </c>
      <c r="L27" s="262">
        <v>31</v>
      </c>
      <c r="M27" s="262" t="s">
        <v>621</v>
      </c>
      <c r="N27" s="256">
        <v>3.8319999999999999</v>
      </c>
      <c r="O27" s="262" t="s">
        <v>621</v>
      </c>
      <c r="P27" s="262" t="s">
        <v>621</v>
      </c>
      <c r="Q27" s="262" t="s">
        <v>621</v>
      </c>
      <c r="R27" s="262" t="s">
        <v>621</v>
      </c>
      <c r="S27" s="262" t="s">
        <v>621</v>
      </c>
      <c r="T27" s="262" t="str">
        <f>U27</f>
        <v>нд</v>
      </c>
      <c r="U27" s="262" t="s">
        <v>621</v>
      </c>
      <c r="V27" s="262" t="s">
        <v>621</v>
      </c>
      <c r="W27" s="262" t="s">
        <v>621</v>
      </c>
      <c r="X27" s="262" t="s">
        <v>621</v>
      </c>
      <c r="Y27" s="262" t="s">
        <v>621</v>
      </c>
      <c r="Z27" s="262" t="s">
        <v>621</v>
      </c>
      <c r="AA27" s="262" t="s">
        <v>621</v>
      </c>
      <c r="AB27" s="262" t="s">
        <v>621</v>
      </c>
      <c r="AC27" s="262" t="s">
        <v>621</v>
      </c>
      <c r="AD27" s="262" t="s">
        <v>621</v>
      </c>
      <c r="AE27" s="262" t="s">
        <v>621</v>
      </c>
      <c r="AF27" s="262" t="s">
        <v>621</v>
      </c>
      <c r="AG27" s="262" t="s">
        <v>621</v>
      </c>
      <c r="AH27" s="262" t="s">
        <v>621</v>
      </c>
      <c r="AI27" s="262" t="s">
        <v>621</v>
      </c>
      <c r="AJ27" s="262" t="s">
        <v>621</v>
      </c>
      <c r="AK27" s="262" t="s">
        <v>621</v>
      </c>
      <c r="AL27" s="262" t="s">
        <v>621</v>
      </c>
      <c r="AM27" s="262" t="s">
        <v>621</v>
      </c>
      <c r="AN27" s="262" t="s">
        <v>621</v>
      </c>
      <c r="AO27" s="262" t="s">
        <v>621</v>
      </c>
      <c r="AP27" s="262" t="s">
        <v>621</v>
      </c>
      <c r="AQ27" s="262" t="s">
        <v>621</v>
      </c>
      <c r="AR27" s="262" t="s">
        <v>621</v>
      </c>
      <c r="AS27" s="262" t="s">
        <v>621</v>
      </c>
    </row>
    <row r="28" spans="1:45" s="236" customFormat="1" ht="35.25" customHeight="1" x14ac:dyDescent="0.45">
      <c r="A28" s="316" t="s">
        <v>537</v>
      </c>
      <c r="B28" s="426" t="s">
        <v>691</v>
      </c>
      <c r="C28" s="262" t="s">
        <v>621</v>
      </c>
      <c r="D28" s="262" t="s">
        <v>621</v>
      </c>
      <c r="E28" s="262" t="s">
        <v>621</v>
      </c>
      <c r="F28" s="262" t="s">
        <v>621</v>
      </c>
      <c r="G28" s="262" t="s">
        <v>621</v>
      </c>
      <c r="H28" s="262" t="s">
        <v>621</v>
      </c>
      <c r="I28" s="262" t="s">
        <v>621</v>
      </c>
      <c r="J28" s="262" t="s">
        <v>621</v>
      </c>
      <c r="K28" s="262" t="s">
        <v>621</v>
      </c>
      <c r="L28" s="262">
        <f>L45</f>
        <v>36</v>
      </c>
      <c r="M28" s="262" t="s">
        <v>621</v>
      </c>
      <c r="N28" s="256">
        <f>N45</f>
        <v>3.1389999999999998</v>
      </c>
      <c r="O28" s="262" t="s">
        <v>621</v>
      </c>
      <c r="P28" s="262" t="s">
        <v>621</v>
      </c>
      <c r="Q28" s="262" t="s">
        <v>621</v>
      </c>
      <c r="R28" s="262" t="s">
        <v>621</v>
      </c>
      <c r="S28" s="262" t="s">
        <v>621</v>
      </c>
      <c r="T28" s="262">
        <v>2824</v>
      </c>
      <c r="U28" s="262" t="s">
        <v>621</v>
      </c>
      <c r="V28" s="262" t="s">
        <v>621</v>
      </c>
      <c r="W28" s="262" t="s">
        <v>621</v>
      </c>
      <c r="X28" s="262" t="s">
        <v>621</v>
      </c>
      <c r="Y28" s="262" t="s">
        <v>621</v>
      </c>
      <c r="Z28" s="262" t="s">
        <v>621</v>
      </c>
      <c r="AA28" s="262" t="s">
        <v>621</v>
      </c>
      <c r="AB28" s="262" t="s">
        <v>621</v>
      </c>
      <c r="AC28" s="262" t="s">
        <v>621</v>
      </c>
      <c r="AD28" s="262" t="s">
        <v>621</v>
      </c>
      <c r="AE28" s="262" t="s">
        <v>621</v>
      </c>
      <c r="AF28" s="262" t="s">
        <v>621</v>
      </c>
      <c r="AG28" s="262" t="s">
        <v>621</v>
      </c>
      <c r="AH28" s="262" t="s">
        <v>621</v>
      </c>
      <c r="AI28" s="262" t="s">
        <v>621</v>
      </c>
      <c r="AJ28" s="262" t="s">
        <v>621</v>
      </c>
      <c r="AK28" s="262" t="s">
        <v>621</v>
      </c>
      <c r="AL28" s="262" t="s">
        <v>621</v>
      </c>
      <c r="AM28" s="262" t="s">
        <v>621</v>
      </c>
      <c r="AN28" s="262" t="s">
        <v>621</v>
      </c>
      <c r="AO28" s="262" t="s">
        <v>621</v>
      </c>
      <c r="AP28" s="262" t="s">
        <v>621</v>
      </c>
      <c r="AQ28" s="262" t="s">
        <v>621</v>
      </c>
      <c r="AR28" s="262" t="s">
        <v>621</v>
      </c>
      <c r="AS28" s="262" t="s">
        <v>621</v>
      </c>
    </row>
    <row r="29" spans="1:45" s="236" customFormat="1" ht="90" hidden="1" x14ac:dyDescent="0.45">
      <c r="A29" s="268" t="s">
        <v>538</v>
      </c>
      <c r="B29" s="425" t="s">
        <v>692</v>
      </c>
      <c r="C29" s="262" t="s">
        <v>621</v>
      </c>
      <c r="D29" s="262" t="s">
        <v>621</v>
      </c>
      <c r="E29" s="262" t="s">
        <v>621</v>
      </c>
      <c r="F29" s="262" t="s">
        <v>621</v>
      </c>
      <c r="G29" s="262" t="s">
        <v>621</v>
      </c>
      <c r="H29" s="262" t="s">
        <v>621</v>
      </c>
      <c r="I29" s="262" t="s">
        <v>621</v>
      </c>
      <c r="J29" s="262" t="s">
        <v>621</v>
      </c>
      <c r="K29" s="262" t="s">
        <v>621</v>
      </c>
      <c r="L29" s="262">
        <v>31</v>
      </c>
      <c r="M29" s="262" t="s">
        <v>621</v>
      </c>
      <c r="N29" s="256">
        <v>3.8319999999999999</v>
      </c>
      <c r="O29" s="262" t="s">
        <v>621</v>
      </c>
      <c r="P29" s="262" t="s">
        <v>621</v>
      </c>
      <c r="Q29" s="262" t="s">
        <v>621</v>
      </c>
      <c r="R29" s="262" t="s">
        <v>621</v>
      </c>
      <c r="S29" s="262" t="s">
        <v>621</v>
      </c>
      <c r="T29" s="262" t="s">
        <v>621</v>
      </c>
      <c r="U29" s="262" t="s">
        <v>621</v>
      </c>
      <c r="V29" s="262" t="s">
        <v>621</v>
      </c>
      <c r="W29" s="262" t="s">
        <v>621</v>
      </c>
      <c r="X29" s="262" t="s">
        <v>621</v>
      </c>
      <c r="Y29" s="262" t="s">
        <v>621</v>
      </c>
      <c r="Z29" s="262" t="s">
        <v>621</v>
      </c>
      <c r="AA29" s="262" t="s">
        <v>621</v>
      </c>
      <c r="AB29" s="262" t="s">
        <v>621</v>
      </c>
      <c r="AC29" s="262" t="s">
        <v>621</v>
      </c>
      <c r="AD29" s="262" t="s">
        <v>621</v>
      </c>
      <c r="AE29" s="262" t="s">
        <v>621</v>
      </c>
      <c r="AF29" s="262" t="s">
        <v>621</v>
      </c>
      <c r="AG29" s="262" t="s">
        <v>621</v>
      </c>
      <c r="AH29" s="262" t="s">
        <v>621</v>
      </c>
      <c r="AI29" s="262" t="s">
        <v>621</v>
      </c>
      <c r="AJ29" s="262" t="s">
        <v>621</v>
      </c>
      <c r="AK29" s="262" t="s">
        <v>621</v>
      </c>
      <c r="AL29" s="262" t="s">
        <v>621</v>
      </c>
      <c r="AM29" s="262" t="s">
        <v>621</v>
      </c>
      <c r="AN29" s="262" t="s">
        <v>621</v>
      </c>
      <c r="AO29" s="262" t="s">
        <v>621</v>
      </c>
      <c r="AP29" s="262" t="s">
        <v>621</v>
      </c>
      <c r="AQ29" s="262" t="s">
        <v>621</v>
      </c>
      <c r="AR29" s="262" t="s">
        <v>621</v>
      </c>
      <c r="AS29" s="262" t="s">
        <v>621</v>
      </c>
    </row>
    <row r="30" spans="1:45" s="236" customFormat="1" ht="153.75" hidden="1" x14ac:dyDescent="0.45">
      <c r="A30" s="316" t="s">
        <v>540</v>
      </c>
      <c r="B30" s="426" t="s">
        <v>725</v>
      </c>
      <c r="C30" s="262" t="s">
        <v>621</v>
      </c>
      <c r="D30" s="262" t="s">
        <v>621</v>
      </c>
      <c r="E30" s="262" t="s">
        <v>621</v>
      </c>
      <c r="F30" s="262" t="s">
        <v>621</v>
      </c>
      <c r="G30" s="262" t="s">
        <v>621</v>
      </c>
      <c r="H30" s="262" t="s">
        <v>621</v>
      </c>
      <c r="I30" s="262" t="s">
        <v>621</v>
      </c>
      <c r="J30" s="262" t="s">
        <v>621</v>
      </c>
      <c r="K30" s="262" t="s">
        <v>621</v>
      </c>
      <c r="L30" s="262">
        <v>31</v>
      </c>
      <c r="M30" s="262" t="s">
        <v>621</v>
      </c>
      <c r="N30" s="256">
        <v>3.8319999999999999</v>
      </c>
      <c r="O30" s="262" t="s">
        <v>621</v>
      </c>
      <c r="P30" s="262" t="s">
        <v>621</v>
      </c>
      <c r="Q30" s="262" t="s">
        <v>621</v>
      </c>
      <c r="R30" s="262" t="s">
        <v>621</v>
      </c>
      <c r="S30" s="262" t="s">
        <v>621</v>
      </c>
      <c r="T30" s="262" t="s">
        <v>621</v>
      </c>
      <c r="U30" s="262" t="s">
        <v>621</v>
      </c>
      <c r="V30" s="262" t="s">
        <v>621</v>
      </c>
      <c r="W30" s="262" t="s">
        <v>621</v>
      </c>
      <c r="X30" s="262" t="s">
        <v>621</v>
      </c>
      <c r="Y30" s="262" t="s">
        <v>621</v>
      </c>
      <c r="Z30" s="262" t="s">
        <v>621</v>
      </c>
      <c r="AA30" s="262" t="s">
        <v>621</v>
      </c>
      <c r="AB30" s="262" t="s">
        <v>621</v>
      </c>
      <c r="AC30" s="262" t="s">
        <v>621</v>
      </c>
      <c r="AD30" s="262" t="s">
        <v>621</v>
      </c>
      <c r="AE30" s="262" t="s">
        <v>621</v>
      </c>
      <c r="AF30" s="262" t="s">
        <v>621</v>
      </c>
      <c r="AG30" s="262" t="s">
        <v>621</v>
      </c>
      <c r="AH30" s="262" t="s">
        <v>621</v>
      </c>
      <c r="AI30" s="262" t="s">
        <v>621</v>
      </c>
      <c r="AJ30" s="262" t="s">
        <v>621</v>
      </c>
      <c r="AK30" s="262" t="s">
        <v>621</v>
      </c>
      <c r="AL30" s="262" t="s">
        <v>621</v>
      </c>
      <c r="AM30" s="262" t="s">
        <v>621</v>
      </c>
      <c r="AN30" s="262" t="s">
        <v>621</v>
      </c>
      <c r="AO30" s="262" t="s">
        <v>621</v>
      </c>
      <c r="AP30" s="262" t="s">
        <v>621</v>
      </c>
      <c r="AQ30" s="262" t="s">
        <v>621</v>
      </c>
      <c r="AR30" s="262" t="s">
        <v>621</v>
      </c>
      <c r="AS30" s="262" t="s">
        <v>621</v>
      </c>
    </row>
    <row r="31" spans="1:45" s="236" customFormat="1" ht="215.25" hidden="1" x14ac:dyDescent="0.45">
      <c r="A31" s="316" t="s">
        <v>568</v>
      </c>
      <c r="B31" s="426" t="s">
        <v>726</v>
      </c>
      <c r="C31" s="262" t="s">
        <v>621</v>
      </c>
      <c r="D31" s="262" t="s">
        <v>621</v>
      </c>
      <c r="E31" s="262" t="s">
        <v>621</v>
      </c>
      <c r="F31" s="262" t="s">
        <v>621</v>
      </c>
      <c r="G31" s="262" t="s">
        <v>621</v>
      </c>
      <c r="H31" s="262" t="s">
        <v>621</v>
      </c>
      <c r="I31" s="262" t="s">
        <v>621</v>
      </c>
      <c r="J31" s="262" t="s">
        <v>621</v>
      </c>
      <c r="K31" s="262" t="s">
        <v>621</v>
      </c>
      <c r="L31" s="262">
        <v>31</v>
      </c>
      <c r="M31" s="262" t="s">
        <v>621</v>
      </c>
      <c r="N31" s="256">
        <v>3.8319999999999999</v>
      </c>
      <c r="O31" s="262" t="s">
        <v>621</v>
      </c>
      <c r="P31" s="262" t="s">
        <v>621</v>
      </c>
      <c r="Q31" s="262" t="s">
        <v>621</v>
      </c>
      <c r="R31" s="262" t="s">
        <v>621</v>
      </c>
      <c r="S31" s="262" t="s">
        <v>621</v>
      </c>
      <c r="T31" s="262" t="s">
        <v>621</v>
      </c>
      <c r="U31" s="262" t="s">
        <v>621</v>
      </c>
      <c r="V31" s="262" t="s">
        <v>621</v>
      </c>
      <c r="W31" s="262" t="s">
        <v>621</v>
      </c>
      <c r="X31" s="262" t="s">
        <v>621</v>
      </c>
      <c r="Y31" s="262" t="s">
        <v>621</v>
      </c>
      <c r="Z31" s="262" t="s">
        <v>621</v>
      </c>
      <c r="AA31" s="262" t="s">
        <v>621</v>
      </c>
      <c r="AB31" s="262" t="s">
        <v>621</v>
      </c>
      <c r="AC31" s="262" t="s">
        <v>621</v>
      </c>
      <c r="AD31" s="262" t="s">
        <v>621</v>
      </c>
      <c r="AE31" s="262" t="s">
        <v>621</v>
      </c>
      <c r="AF31" s="262" t="s">
        <v>621</v>
      </c>
      <c r="AG31" s="262" t="s">
        <v>621</v>
      </c>
      <c r="AH31" s="262" t="s">
        <v>621</v>
      </c>
      <c r="AI31" s="262" t="s">
        <v>621</v>
      </c>
      <c r="AJ31" s="262" t="s">
        <v>621</v>
      </c>
      <c r="AK31" s="262" t="s">
        <v>621</v>
      </c>
      <c r="AL31" s="262" t="s">
        <v>621</v>
      </c>
      <c r="AM31" s="262" t="s">
        <v>621</v>
      </c>
      <c r="AN31" s="262" t="s">
        <v>621</v>
      </c>
      <c r="AO31" s="262" t="s">
        <v>621</v>
      </c>
      <c r="AP31" s="262" t="s">
        <v>621</v>
      </c>
      <c r="AQ31" s="262" t="s">
        <v>621</v>
      </c>
      <c r="AR31" s="262" t="s">
        <v>621</v>
      </c>
      <c r="AS31" s="262" t="s">
        <v>621</v>
      </c>
    </row>
    <row r="32" spans="1:45" s="236" customFormat="1" ht="215.25" hidden="1" x14ac:dyDescent="0.45">
      <c r="A32" s="316" t="s">
        <v>569</v>
      </c>
      <c r="B32" s="426" t="s">
        <v>727</v>
      </c>
      <c r="C32" s="262" t="s">
        <v>621</v>
      </c>
      <c r="D32" s="262" t="s">
        <v>621</v>
      </c>
      <c r="E32" s="262" t="s">
        <v>621</v>
      </c>
      <c r="F32" s="262" t="s">
        <v>621</v>
      </c>
      <c r="G32" s="262" t="s">
        <v>621</v>
      </c>
      <c r="H32" s="262" t="s">
        <v>621</v>
      </c>
      <c r="I32" s="262" t="s">
        <v>621</v>
      </c>
      <c r="J32" s="262" t="s">
        <v>621</v>
      </c>
      <c r="K32" s="262" t="s">
        <v>621</v>
      </c>
      <c r="L32" s="262">
        <v>31</v>
      </c>
      <c r="M32" s="262" t="s">
        <v>621</v>
      </c>
      <c r="N32" s="256">
        <v>3.8319999999999999</v>
      </c>
      <c r="O32" s="262" t="s">
        <v>621</v>
      </c>
      <c r="P32" s="262" t="s">
        <v>621</v>
      </c>
      <c r="Q32" s="262" t="s">
        <v>621</v>
      </c>
      <c r="R32" s="262" t="s">
        <v>621</v>
      </c>
      <c r="S32" s="262" t="s">
        <v>621</v>
      </c>
      <c r="T32" s="262" t="s">
        <v>621</v>
      </c>
      <c r="U32" s="262" t="s">
        <v>621</v>
      </c>
      <c r="V32" s="262" t="s">
        <v>621</v>
      </c>
      <c r="W32" s="262" t="s">
        <v>621</v>
      </c>
      <c r="X32" s="262" t="s">
        <v>621</v>
      </c>
      <c r="Y32" s="262" t="s">
        <v>621</v>
      </c>
      <c r="Z32" s="262" t="s">
        <v>621</v>
      </c>
      <c r="AA32" s="262" t="s">
        <v>621</v>
      </c>
      <c r="AB32" s="262" t="s">
        <v>621</v>
      </c>
      <c r="AC32" s="262" t="s">
        <v>621</v>
      </c>
      <c r="AD32" s="262" t="s">
        <v>621</v>
      </c>
      <c r="AE32" s="262" t="s">
        <v>621</v>
      </c>
      <c r="AF32" s="262" t="s">
        <v>621</v>
      </c>
      <c r="AG32" s="262" t="s">
        <v>621</v>
      </c>
      <c r="AH32" s="262" t="s">
        <v>621</v>
      </c>
      <c r="AI32" s="262" t="s">
        <v>621</v>
      </c>
      <c r="AJ32" s="262" t="s">
        <v>621</v>
      </c>
      <c r="AK32" s="262" t="s">
        <v>621</v>
      </c>
      <c r="AL32" s="262" t="s">
        <v>621</v>
      </c>
      <c r="AM32" s="262" t="s">
        <v>621</v>
      </c>
      <c r="AN32" s="262" t="s">
        <v>621</v>
      </c>
      <c r="AO32" s="262" t="s">
        <v>621</v>
      </c>
      <c r="AP32" s="262" t="s">
        <v>621</v>
      </c>
      <c r="AQ32" s="262" t="s">
        <v>621</v>
      </c>
      <c r="AR32" s="262" t="s">
        <v>621</v>
      </c>
      <c r="AS32" s="262" t="s">
        <v>621</v>
      </c>
    </row>
    <row r="33" spans="1:45" s="236" customFormat="1" ht="184.5" hidden="1" x14ac:dyDescent="0.45">
      <c r="A33" s="316" t="s">
        <v>570</v>
      </c>
      <c r="B33" s="426" t="s">
        <v>728</v>
      </c>
      <c r="C33" s="262" t="s">
        <v>621</v>
      </c>
      <c r="D33" s="262" t="s">
        <v>621</v>
      </c>
      <c r="E33" s="262" t="s">
        <v>621</v>
      </c>
      <c r="F33" s="262" t="s">
        <v>621</v>
      </c>
      <c r="G33" s="262" t="s">
        <v>621</v>
      </c>
      <c r="H33" s="262" t="s">
        <v>621</v>
      </c>
      <c r="I33" s="262" t="s">
        <v>621</v>
      </c>
      <c r="J33" s="262" t="s">
        <v>621</v>
      </c>
      <c r="K33" s="262" t="s">
        <v>621</v>
      </c>
      <c r="L33" s="262">
        <v>31</v>
      </c>
      <c r="M33" s="262" t="s">
        <v>621</v>
      </c>
      <c r="N33" s="256">
        <v>3.8319999999999999</v>
      </c>
      <c r="O33" s="262" t="s">
        <v>621</v>
      </c>
      <c r="P33" s="262" t="s">
        <v>621</v>
      </c>
      <c r="Q33" s="262" t="s">
        <v>621</v>
      </c>
      <c r="R33" s="262" t="s">
        <v>621</v>
      </c>
      <c r="S33" s="262" t="s">
        <v>621</v>
      </c>
      <c r="T33" s="262" t="s">
        <v>621</v>
      </c>
      <c r="U33" s="262" t="s">
        <v>621</v>
      </c>
      <c r="V33" s="262" t="s">
        <v>621</v>
      </c>
      <c r="W33" s="262" t="s">
        <v>621</v>
      </c>
      <c r="X33" s="262" t="s">
        <v>621</v>
      </c>
      <c r="Y33" s="262" t="s">
        <v>621</v>
      </c>
      <c r="Z33" s="262" t="s">
        <v>621</v>
      </c>
      <c r="AA33" s="262" t="s">
        <v>621</v>
      </c>
      <c r="AB33" s="262" t="s">
        <v>621</v>
      </c>
      <c r="AC33" s="262" t="s">
        <v>621</v>
      </c>
      <c r="AD33" s="262" t="s">
        <v>621</v>
      </c>
      <c r="AE33" s="262" t="s">
        <v>621</v>
      </c>
      <c r="AF33" s="262" t="s">
        <v>621</v>
      </c>
      <c r="AG33" s="262" t="s">
        <v>621</v>
      </c>
      <c r="AH33" s="262" t="s">
        <v>621</v>
      </c>
      <c r="AI33" s="262" t="s">
        <v>621</v>
      </c>
      <c r="AJ33" s="262" t="s">
        <v>621</v>
      </c>
      <c r="AK33" s="262" t="s">
        <v>621</v>
      </c>
      <c r="AL33" s="262" t="s">
        <v>621</v>
      </c>
      <c r="AM33" s="262" t="s">
        <v>621</v>
      </c>
      <c r="AN33" s="262" t="s">
        <v>621</v>
      </c>
      <c r="AO33" s="262" t="s">
        <v>621</v>
      </c>
      <c r="AP33" s="262" t="s">
        <v>621</v>
      </c>
      <c r="AQ33" s="262" t="s">
        <v>621</v>
      </c>
      <c r="AR33" s="262" t="s">
        <v>621</v>
      </c>
      <c r="AS33" s="262" t="s">
        <v>621</v>
      </c>
    </row>
    <row r="34" spans="1:45" s="236" customFormat="1" ht="153.75" hidden="1" x14ac:dyDescent="0.45">
      <c r="A34" s="316" t="s">
        <v>541</v>
      </c>
      <c r="B34" s="426" t="s">
        <v>729</v>
      </c>
      <c r="C34" s="262" t="s">
        <v>621</v>
      </c>
      <c r="D34" s="262" t="s">
        <v>621</v>
      </c>
      <c r="E34" s="262" t="s">
        <v>621</v>
      </c>
      <c r="F34" s="262" t="s">
        <v>621</v>
      </c>
      <c r="G34" s="262" t="s">
        <v>621</v>
      </c>
      <c r="H34" s="262" t="s">
        <v>621</v>
      </c>
      <c r="I34" s="262" t="s">
        <v>621</v>
      </c>
      <c r="J34" s="262" t="s">
        <v>621</v>
      </c>
      <c r="K34" s="262" t="s">
        <v>621</v>
      </c>
      <c r="L34" s="262">
        <v>31</v>
      </c>
      <c r="M34" s="262" t="s">
        <v>621</v>
      </c>
      <c r="N34" s="256">
        <v>3.8319999999999999</v>
      </c>
      <c r="O34" s="262" t="s">
        <v>621</v>
      </c>
      <c r="P34" s="262" t="s">
        <v>621</v>
      </c>
      <c r="Q34" s="262" t="s">
        <v>621</v>
      </c>
      <c r="R34" s="262" t="s">
        <v>621</v>
      </c>
      <c r="S34" s="262" t="s">
        <v>621</v>
      </c>
      <c r="T34" s="262" t="s">
        <v>621</v>
      </c>
      <c r="U34" s="262" t="s">
        <v>621</v>
      </c>
      <c r="V34" s="262" t="s">
        <v>621</v>
      </c>
      <c r="W34" s="262" t="s">
        <v>621</v>
      </c>
      <c r="X34" s="262" t="s">
        <v>621</v>
      </c>
      <c r="Y34" s="262" t="s">
        <v>621</v>
      </c>
      <c r="Z34" s="262" t="s">
        <v>621</v>
      </c>
      <c r="AA34" s="262" t="s">
        <v>621</v>
      </c>
      <c r="AB34" s="262" t="s">
        <v>621</v>
      </c>
      <c r="AC34" s="262" t="s">
        <v>621</v>
      </c>
      <c r="AD34" s="262" t="s">
        <v>621</v>
      </c>
      <c r="AE34" s="262" t="s">
        <v>621</v>
      </c>
      <c r="AF34" s="262" t="s">
        <v>621</v>
      </c>
      <c r="AG34" s="262" t="s">
        <v>621</v>
      </c>
      <c r="AH34" s="262" t="s">
        <v>621</v>
      </c>
      <c r="AI34" s="262" t="s">
        <v>621</v>
      </c>
      <c r="AJ34" s="262" t="s">
        <v>621</v>
      </c>
      <c r="AK34" s="262" t="s">
        <v>621</v>
      </c>
      <c r="AL34" s="262" t="s">
        <v>621</v>
      </c>
      <c r="AM34" s="262" t="s">
        <v>621</v>
      </c>
      <c r="AN34" s="262" t="s">
        <v>621</v>
      </c>
      <c r="AO34" s="262" t="s">
        <v>621</v>
      </c>
      <c r="AP34" s="262" t="s">
        <v>621</v>
      </c>
      <c r="AQ34" s="262" t="s">
        <v>621</v>
      </c>
      <c r="AR34" s="262" t="s">
        <v>621</v>
      </c>
      <c r="AS34" s="262" t="s">
        <v>621</v>
      </c>
    </row>
    <row r="35" spans="1:45" s="236" customFormat="1" ht="246" hidden="1" x14ac:dyDescent="0.45">
      <c r="A35" s="316" t="s">
        <v>572</v>
      </c>
      <c r="B35" s="426" t="s">
        <v>730</v>
      </c>
      <c r="C35" s="262" t="s">
        <v>621</v>
      </c>
      <c r="D35" s="262" t="s">
        <v>621</v>
      </c>
      <c r="E35" s="262" t="s">
        <v>621</v>
      </c>
      <c r="F35" s="262" t="s">
        <v>621</v>
      </c>
      <c r="G35" s="262" t="s">
        <v>621</v>
      </c>
      <c r="H35" s="262" t="s">
        <v>621</v>
      </c>
      <c r="I35" s="262" t="s">
        <v>621</v>
      </c>
      <c r="J35" s="262" t="s">
        <v>621</v>
      </c>
      <c r="K35" s="262" t="s">
        <v>621</v>
      </c>
      <c r="L35" s="262">
        <v>31</v>
      </c>
      <c r="M35" s="262" t="s">
        <v>621</v>
      </c>
      <c r="N35" s="256">
        <v>3.8319999999999999</v>
      </c>
      <c r="O35" s="262" t="s">
        <v>621</v>
      </c>
      <c r="P35" s="262" t="s">
        <v>621</v>
      </c>
      <c r="Q35" s="262" t="s">
        <v>621</v>
      </c>
      <c r="R35" s="262" t="s">
        <v>621</v>
      </c>
      <c r="S35" s="262" t="s">
        <v>621</v>
      </c>
      <c r="T35" s="262" t="s">
        <v>621</v>
      </c>
      <c r="U35" s="262" t="s">
        <v>621</v>
      </c>
      <c r="V35" s="262" t="s">
        <v>621</v>
      </c>
      <c r="W35" s="262" t="s">
        <v>621</v>
      </c>
      <c r="X35" s="262" t="s">
        <v>621</v>
      </c>
      <c r="Y35" s="262" t="s">
        <v>621</v>
      </c>
      <c r="Z35" s="262" t="s">
        <v>621</v>
      </c>
      <c r="AA35" s="262" t="s">
        <v>621</v>
      </c>
      <c r="AB35" s="262" t="s">
        <v>621</v>
      </c>
      <c r="AC35" s="262" t="s">
        <v>621</v>
      </c>
      <c r="AD35" s="262" t="s">
        <v>621</v>
      </c>
      <c r="AE35" s="262" t="s">
        <v>621</v>
      </c>
      <c r="AF35" s="262" t="s">
        <v>621</v>
      </c>
      <c r="AG35" s="262" t="s">
        <v>621</v>
      </c>
      <c r="AH35" s="262" t="s">
        <v>621</v>
      </c>
      <c r="AI35" s="262" t="s">
        <v>621</v>
      </c>
      <c r="AJ35" s="262" t="s">
        <v>621</v>
      </c>
      <c r="AK35" s="262" t="s">
        <v>621</v>
      </c>
      <c r="AL35" s="262" t="s">
        <v>621</v>
      </c>
      <c r="AM35" s="262" t="s">
        <v>621</v>
      </c>
      <c r="AN35" s="262" t="s">
        <v>621</v>
      </c>
      <c r="AO35" s="262" t="s">
        <v>621</v>
      </c>
      <c r="AP35" s="262" t="s">
        <v>621</v>
      </c>
      <c r="AQ35" s="262" t="s">
        <v>621</v>
      </c>
      <c r="AR35" s="262" t="s">
        <v>621</v>
      </c>
      <c r="AS35" s="262" t="s">
        <v>621</v>
      </c>
    </row>
    <row r="36" spans="1:45" s="236" customFormat="1" ht="184.5" hidden="1" x14ac:dyDescent="0.45">
      <c r="A36" s="316" t="s">
        <v>573</v>
      </c>
      <c r="B36" s="426" t="s">
        <v>731</v>
      </c>
      <c r="C36" s="262" t="s">
        <v>621</v>
      </c>
      <c r="D36" s="262" t="s">
        <v>621</v>
      </c>
      <c r="E36" s="262" t="s">
        <v>621</v>
      </c>
      <c r="F36" s="262" t="s">
        <v>621</v>
      </c>
      <c r="G36" s="262" t="s">
        <v>621</v>
      </c>
      <c r="H36" s="262" t="s">
        <v>621</v>
      </c>
      <c r="I36" s="262" t="s">
        <v>621</v>
      </c>
      <c r="J36" s="262" t="s">
        <v>621</v>
      </c>
      <c r="K36" s="262" t="s">
        <v>621</v>
      </c>
      <c r="L36" s="262">
        <v>31</v>
      </c>
      <c r="M36" s="262" t="s">
        <v>621</v>
      </c>
      <c r="N36" s="256">
        <v>3.8319999999999999</v>
      </c>
      <c r="O36" s="262" t="s">
        <v>621</v>
      </c>
      <c r="P36" s="262" t="s">
        <v>621</v>
      </c>
      <c r="Q36" s="262" t="s">
        <v>621</v>
      </c>
      <c r="R36" s="262" t="s">
        <v>621</v>
      </c>
      <c r="S36" s="262" t="s">
        <v>621</v>
      </c>
      <c r="T36" s="262" t="s">
        <v>621</v>
      </c>
      <c r="U36" s="262" t="s">
        <v>621</v>
      </c>
      <c r="V36" s="262" t="s">
        <v>621</v>
      </c>
      <c r="W36" s="262" t="s">
        <v>621</v>
      </c>
      <c r="X36" s="262" t="s">
        <v>621</v>
      </c>
      <c r="Y36" s="262" t="s">
        <v>621</v>
      </c>
      <c r="Z36" s="262" t="s">
        <v>621</v>
      </c>
      <c r="AA36" s="262" t="s">
        <v>621</v>
      </c>
      <c r="AB36" s="262" t="s">
        <v>621</v>
      </c>
      <c r="AC36" s="262" t="s">
        <v>621</v>
      </c>
      <c r="AD36" s="262" t="s">
        <v>621</v>
      </c>
      <c r="AE36" s="262" t="s">
        <v>621</v>
      </c>
      <c r="AF36" s="262" t="s">
        <v>621</v>
      </c>
      <c r="AG36" s="262" t="s">
        <v>621</v>
      </c>
      <c r="AH36" s="262" t="s">
        <v>621</v>
      </c>
      <c r="AI36" s="262" t="s">
        <v>621</v>
      </c>
      <c r="AJ36" s="262" t="s">
        <v>621</v>
      </c>
      <c r="AK36" s="262" t="s">
        <v>621</v>
      </c>
      <c r="AL36" s="262" t="s">
        <v>621</v>
      </c>
      <c r="AM36" s="262" t="s">
        <v>621</v>
      </c>
      <c r="AN36" s="262" t="s">
        <v>621</v>
      </c>
      <c r="AO36" s="262" t="s">
        <v>621</v>
      </c>
      <c r="AP36" s="262" t="s">
        <v>621</v>
      </c>
      <c r="AQ36" s="262" t="s">
        <v>621</v>
      </c>
      <c r="AR36" s="262" t="s">
        <v>621</v>
      </c>
      <c r="AS36" s="262" t="s">
        <v>621</v>
      </c>
    </row>
    <row r="37" spans="1:45" s="236" customFormat="1" ht="153.75" hidden="1" x14ac:dyDescent="0.45">
      <c r="A37" s="316" t="s">
        <v>542</v>
      </c>
      <c r="B37" s="426" t="s">
        <v>732</v>
      </c>
      <c r="C37" s="262" t="s">
        <v>621</v>
      </c>
      <c r="D37" s="262" t="s">
        <v>621</v>
      </c>
      <c r="E37" s="262" t="s">
        <v>621</v>
      </c>
      <c r="F37" s="262" t="s">
        <v>621</v>
      </c>
      <c r="G37" s="262" t="s">
        <v>621</v>
      </c>
      <c r="H37" s="262" t="s">
        <v>621</v>
      </c>
      <c r="I37" s="262" t="s">
        <v>621</v>
      </c>
      <c r="J37" s="262" t="s">
        <v>621</v>
      </c>
      <c r="K37" s="262" t="s">
        <v>621</v>
      </c>
      <c r="L37" s="262">
        <v>31</v>
      </c>
      <c r="M37" s="262" t="s">
        <v>621</v>
      </c>
      <c r="N37" s="256">
        <v>3.8319999999999999</v>
      </c>
      <c r="O37" s="262" t="s">
        <v>621</v>
      </c>
      <c r="P37" s="262" t="s">
        <v>621</v>
      </c>
      <c r="Q37" s="262" t="s">
        <v>621</v>
      </c>
      <c r="R37" s="262" t="s">
        <v>621</v>
      </c>
      <c r="S37" s="262" t="s">
        <v>621</v>
      </c>
      <c r="T37" s="262" t="s">
        <v>621</v>
      </c>
      <c r="U37" s="262" t="s">
        <v>621</v>
      </c>
      <c r="V37" s="262" t="s">
        <v>621</v>
      </c>
      <c r="W37" s="262" t="s">
        <v>621</v>
      </c>
      <c r="X37" s="262" t="s">
        <v>621</v>
      </c>
      <c r="Y37" s="262" t="s">
        <v>621</v>
      </c>
      <c r="Z37" s="262" t="s">
        <v>621</v>
      </c>
      <c r="AA37" s="262" t="s">
        <v>621</v>
      </c>
      <c r="AB37" s="262" t="s">
        <v>621</v>
      </c>
      <c r="AC37" s="262" t="s">
        <v>621</v>
      </c>
      <c r="AD37" s="262" t="s">
        <v>621</v>
      </c>
      <c r="AE37" s="262" t="s">
        <v>621</v>
      </c>
      <c r="AF37" s="262" t="s">
        <v>621</v>
      </c>
      <c r="AG37" s="262" t="s">
        <v>621</v>
      </c>
      <c r="AH37" s="262" t="s">
        <v>621</v>
      </c>
      <c r="AI37" s="262" t="s">
        <v>621</v>
      </c>
      <c r="AJ37" s="262" t="s">
        <v>621</v>
      </c>
      <c r="AK37" s="262" t="s">
        <v>621</v>
      </c>
      <c r="AL37" s="262" t="s">
        <v>621</v>
      </c>
      <c r="AM37" s="262" t="s">
        <v>621</v>
      </c>
      <c r="AN37" s="262" t="s">
        <v>621</v>
      </c>
      <c r="AO37" s="262" t="s">
        <v>621</v>
      </c>
      <c r="AP37" s="262" t="s">
        <v>621</v>
      </c>
      <c r="AQ37" s="262" t="s">
        <v>621</v>
      </c>
      <c r="AR37" s="262" t="s">
        <v>621</v>
      </c>
      <c r="AS37" s="262" t="s">
        <v>621</v>
      </c>
    </row>
    <row r="38" spans="1:45" s="236" customFormat="1" ht="123" hidden="1" x14ac:dyDescent="0.45">
      <c r="A38" s="316"/>
      <c r="B38" s="426" t="s">
        <v>733</v>
      </c>
      <c r="C38" s="262" t="s">
        <v>621</v>
      </c>
      <c r="D38" s="262" t="s">
        <v>621</v>
      </c>
      <c r="E38" s="262" t="s">
        <v>621</v>
      </c>
      <c r="F38" s="262" t="s">
        <v>621</v>
      </c>
      <c r="G38" s="262" t="s">
        <v>621</v>
      </c>
      <c r="H38" s="262" t="s">
        <v>621</v>
      </c>
      <c r="I38" s="262" t="s">
        <v>621</v>
      </c>
      <c r="J38" s="262" t="s">
        <v>621</v>
      </c>
      <c r="K38" s="262" t="s">
        <v>621</v>
      </c>
      <c r="L38" s="262">
        <v>31</v>
      </c>
      <c r="M38" s="262" t="s">
        <v>621</v>
      </c>
      <c r="N38" s="256">
        <v>3.8319999999999999</v>
      </c>
      <c r="O38" s="262" t="s">
        <v>621</v>
      </c>
      <c r="P38" s="262" t="s">
        <v>621</v>
      </c>
      <c r="Q38" s="262" t="s">
        <v>621</v>
      </c>
      <c r="R38" s="262" t="s">
        <v>621</v>
      </c>
      <c r="S38" s="262" t="s">
        <v>621</v>
      </c>
      <c r="T38" s="262" t="s">
        <v>621</v>
      </c>
      <c r="U38" s="262" t="s">
        <v>621</v>
      </c>
      <c r="V38" s="262" t="s">
        <v>621</v>
      </c>
      <c r="W38" s="262" t="s">
        <v>621</v>
      </c>
      <c r="X38" s="262" t="s">
        <v>621</v>
      </c>
      <c r="Y38" s="262" t="s">
        <v>621</v>
      </c>
      <c r="Z38" s="262" t="s">
        <v>621</v>
      </c>
      <c r="AA38" s="262" t="s">
        <v>621</v>
      </c>
      <c r="AB38" s="262" t="s">
        <v>621</v>
      </c>
      <c r="AC38" s="262" t="s">
        <v>621</v>
      </c>
      <c r="AD38" s="262" t="s">
        <v>621</v>
      </c>
      <c r="AE38" s="262" t="s">
        <v>621</v>
      </c>
      <c r="AF38" s="262" t="s">
        <v>621</v>
      </c>
      <c r="AG38" s="262" t="s">
        <v>621</v>
      </c>
      <c r="AH38" s="262" t="s">
        <v>621</v>
      </c>
      <c r="AI38" s="262" t="s">
        <v>621</v>
      </c>
      <c r="AJ38" s="262" t="s">
        <v>621</v>
      </c>
      <c r="AK38" s="262" t="s">
        <v>621</v>
      </c>
      <c r="AL38" s="262" t="s">
        <v>621</v>
      </c>
      <c r="AM38" s="262" t="s">
        <v>621</v>
      </c>
      <c r="AN38" s="262" t="s">
        <v>621</v>
      </c>
      <c r="AO38" s="262" t="s">
        <v>621</v>
      </c>
      <c r="AP38" s="262" t="s">
        <v>621</v>
      </c>
      <c r="AQ38" s="262" t="s">
        <v>621</v>
      </c>
      <c r="AR38" s="262" t="s">
        <v>621</v>
      </c>
      <c r="AS38" s="262" t="s">
        <v>621</v>
      </c>
    </row>
    <row r="39" spans="1:45" s="236" customFormat="1" ht="399.75" hidden="1" x14ac:dyDescent="0.45">
      <c r="A39" s="316" t="s">
        <v>576</v>
      </c>
      <c r="B39" s="426" t="s">
        <v>734</v>
      </c>
      <c r="C39" s="262" t="s">
        <v>621</v>
      </c>
      <c r="D39" s="262" t="s">
        <v>621</v>
      </c>
      <c r="E39" s="262" t="s">
        <v>621</v>
      </c>
      <c r="F39" s="262" t="s">
        <v>621</v>
      </c>
      <c r="G39" s="262" t="s">
        <v>621</v>
      </c>
      <c r="H39" s="262" t="s">
        <v>621</v>
      </c>
      <c r="I39" s="262" t="s">
        <v>621</v>
      </c>
      <c r="J39" s="262" t="s">
        <v>621</v>
      </c>
      <c r="K39" s="262" t="s">
        <v>621</v>
      </c>
      <c r="L39" s="262">
        <v>31</v>
      </c>
      <c r="M39" s="262" t="s">
        <v>621</v>
      </c>
      <c r="N39" s="256">
        <v>3.8319999999999999</v>
      </c>
      <c r="O39" s="262" t="s">
        <v>621</v>
      </c>
      <c r="P39" s="262" t="s">
        <v>621</v>
      </c>
      <c r="Q39" s="262" t="s">
        <v>621</v>
      </c>
      <c r="R39" s="262" t="s">
        <v>621</v>
      </c>
      <c r="S39" s="262" t="s">
        <v>621</v>
      </c>
      <c r="T39" s="262" t="s">
        <v>621</v>
      </c>
      <c r="U39" s="262" t="s">
        <v>621</v>
      </c>
      <c r="V39" s="262" t="s">
        <v>621</v>
      </c>
      <c r="W39" s="262" t="s">
        <v>621</v>
      </c>
      <c r="X39" s="262" t="s">
        <v>621</v>
      </c>
      <c r="Y39" s="262" t="s">
        <v>621</v>
      </c>
      <c r="Z39" s="262" t="s">
        <v>621</v>
      </c>
      <c r="AA39" s="262" t="s">
        <v>621</v>
      </c>
      <c r="AB39" s="262" t="s">
        <v>621</v>
      </c>
      <c r="AC39" s="262" t="s">
        <v>621</v>
      </c>
      <c r="AD39" s="262" t="s">
        <v>621</v>
      </c>
      <c r="AE39" s="262" t="s">
        <v>621</v>
      </c>
      <c r="AF39" s="262" t="s">
        <v>621</v>
      </c>
      <c r="AG39" s="262" t="s">
        <v>621</v>
      </c>
      <c r="AH39" s="262" t="s">
        <v>621</v>
      </c>
      <c r="AI39" s="262" t="s">
        <v>621</v>
      </c>
      <c r="AJ39" s="262" t="s">
        <v>621</v>
      </c>
      <c r="AK39" s="262" t="s">
        <v>621</v>
      </c>
      <c r="AL39" s="262" t="s">
        <v>621</v>
      </c>
      <c r="AM39" s="262" t="s">
        <v>621</v>
      </c>
      <c r="AN39" s="262" t="s">
        <v>621</v>
      </c>
      <c r="AO39" s="262" t="s">
        <v>621</v>
      </c>
      <c r="AP39" s="262" t="s">
        <v>621</v>
      </c>
      <c r="AQ39" s="262" t="s">
        <v>621</v>
      </c>
      <c r="AR39" s="262" t="s">
        <v>621</v>
      </c>
      <c r="AS39" s="262" t="s">
        <v>621</v>
      </c>
    </row>
    <row r="40" spans="1:45" s="236" customFormat="1" ht="338.25" hidden="1" x14ac:dyDescent="0.45">
      <c r="A40" s="316" t="s">
        <v>577</v>
      </c>
      <c r="B40" s="426" t="s">
        <v>735</v>
      </c>
      <c r="C40" s="262" t="s">
        <v>621</v>
      </c>
      <c r="D40" s="262" t="s">
        <v>621</v>
      </c>
      <c r="E40" s="262" t="s">
        <v>621</v>
      </c>
      <c r="F40" s="262" t="s">
        <v>621</v>
      </c>
      <c r="G40" s="262" t="s">
        <v>621</v>
      </c>
      <c r="H40" s="262" t="s">
        <v>621</v>
      </c>
      <c r="I40" s="262" t="s">
        <v>621</v>
      </c>
      <c r="J40" s="262" t="s">
        <v>621</v>
      </c>
      <c r="K40" s="262" t="s">
        <v>621</v>
      </c>
      <c r="L40" s="262">
        <v>31</v>
      </c>
      <c r="M40" s="262" t="s">
        <v>621</v>
      </c>
      <c r="N40" s="256">
        <v>3.8319999999999999</v>
      </c>
      <c r="O40" s="262" t="s">
        <v>621</v>
      </c>
      <c r="P40" s="262" t="s">
        <v>621</v>
      </c>
      <c r="Q40" s="262" t="s">
        <v>621</v>
      </c>
      <c r="R40" s="262" t="s">
        <v>621</v>
      </c>
      <c r="S40" s="262" t="s">
        <v>621</v>
      </c>
      <c r="T40" s="262" t="s">
        <v>621</v>
      </c>
      <c r="U40" s="262" t="s">
        <v>621</v>
      </c>
      <c r="V40" s="262" t="s">
        <v>621</v>
      </c>
      <c r="W40" s="262" t="s">
        <v>621</v>
      </c>
      <c r="X40" s="262" t="s">
        <v>621</v>
      </c>
      <c r="Y40" s="262" t="s">
        <v>621</v>
      </c>
      <c r="Z40" s="262" t="s">
        <v>621</v>
      </c>
      <c r="AA40" s="262" t="s">
        <v>621</v>
      </c>
      <c r="AB40" s="262" t="s">
        <v>621</v>
      </c>
      <c r="AC40" s="262" t="s">
        <v>621</v>
      </c>
      <c r="AD40" s="262" t="s">
        <v>621</v>
      </c>
      <c r="AE40" s="262" t="s">
        <v>621</v>
      </c>
      <c r="AF40" s="262" t="s">
        <v>621</v>
      </c>
      <c r="AG40" s="262" t="s">
        <v>621</v>
      </c>
      <c r="AH40" s="262" t="s">
        <v>621</v>
      </c>
      <c r="AI40" s="262" t="s">
        <v>621</v>
      </c>
      <c r="AJ40" s="262" t="s">
        <v>621</v>
      </c>
      <c r="AK40" s="262" t="s">
        <v>621</v>
      </c>
      <c r="AL40" s="262" t="s">
        <v>621</v>
      </c>
      <c r="AM40" s="262" t="s">
        <v>621</v>
      </c>
      <c r="AN40" s="262" t="s">
        <v>621</v>
      </c>
      <c r="AO40" s="262" t="s">
        <v>621</v>
      </c>
      <c r="AP40" s="262" t="s">
        <v>621</v>
      </c>
      <c r="AQ40" s="262" t="s">
        <v>621</v>
      </c>
      <c r="AR40" s="262" t="s">
        <v>621</v>
      </c>
      <c r="AS40" s="262" t="s">
        <v>621</v>
      </c>
    </row>
    <row r="41" spans="1:45" s="236" customFormat="1" ht="338.25" hidden="1" x14ac:dyDescent="0.45">
      <c r="A41" s="316" t="s">
        <v>578</v>
      </c>
      <c r="B41" s="426" t="s">
        <v>736</v>
      </c>
      <c r="C41" s="262" t="s">
        <v>621</v>
      </c>
      <c r="D41" s="262" t="s">
        <v>621</v>
      </c>
      <c r="E41" s="262" t="s">
        <v>621</v>
      </c>
      <c r="F41" s="262" t="s">
        <v>621</v>
      </c>
      <c r="G41" s="262" t="s">
        <v>621</v>
      </c>
      <c r="H41" s="262" t="s">
        <v>621</v>
      </c>
      <c r="I41" s="262" t="s">
        <v>621</v>
      </c>
      <c r="J41" s="262" t="s">
        <v>621</v>
      </c>
      <c r="K41" s="262" t="s">
        <v>621</v>
      </c>
      <c r="L41" s="262">
        <v>31</v>
      </c>
      <c r="M41" s="262" t="s">
        <v>621</v>
      </c>
      <c r="N41" s="256">
        <v>3.8319999999999999</v>
      </c>
      <c r="O41" s="262" t="s">
        <v>621</v>
      </c>
      <c r="P41" s="262" t="s">
        <v>621</v>
      </c>
      <c r="Q41" s="262" t="s">
        <v>621</v>
      </c>
      <c r="R41" s="262" t="s">
        <v>621</v>
      </c>
      <c r="S41" s="262" t="s">
        <v>621</v>
      </c>
      <c r="T41" s="262" t="s">
        <v>621</v>
      </c>
      <c r="U41" s="262" t="s">
        <v>621</v>
      </c>
      <c r="V41" s="262" t="s">
        <v>621</v>
      </c>
      <c r="W41" s="262" t="s">
        <v>621</v>
      </c>
      <c r="X41" s="262" t="s">
        <v>621</v>
      </c>
      <c r="Y41" s="262" t="s">
        <v>621</v>
      </c>
      <c r="Z41" s="262" t="s">
        <v>621</v>
      </c>
      <c r="AA41" s="262" t="s">
        <v>621</v>
      </c>
      <c r="AB41" s="262" t="s">
        <v>621</v>
      </c>
      <c r="AC41" s="262" t="s">
        <v>621</v>
      </c>
      <c r="AD41" s="262" t="s">
        <v>621</v>
      </c>
      <c r="AE41" s="262" t="s">
        <v>621</v>
      </c>
      <c r="AF41" s="262" t="s">
        <v>621</v>
      </c>
      <c r="AG41" s="262" t="s">
        <v>621</v>
      </c>
      <c r="AH41" s="262" t="s">
        <v>621</v>
      </c>
      <c r="AI41" s="262" t="s">
        <v>621</v>
      </c>
      <c r="AJ41" s="262" t="s">
        <v>621</v>
      </c>
      <c r="AK41" s="262" t="s">
        <v>621</v>
      </c>
      <c r="AL41" s="262" t="s">
        <v>621</v>
      </c>
      <c r="AM41" s="262" t="s">
        <v>621</v>
      </c>
      <c r="AN41" s="262" t="s">
        <v>621</v>
      </c>
      <c r="AO41" s="262" t="s">
        <v>621</v>
      </c>
      <c r="AP41" s="262" t="s">
        <v>621</v>
      </c>
      <c r="AQ41" s="262" t="s">
        <v>621</v>
      </c>
      <c r="AR41" s="262" t="s">
        <v>621</v>
      </c>
      <c r="AS41" s="262" t="s">
        <v>621</v>
      </c>
    </row>
    <row r="42" spans="1:45" s="236" customFormat="1" ht="338.25" hidden="1" x14ac:dyDescent="0.45">
      <c r="A42" s="316" t="s">
        <v>543</v>
      </c>
      <c r="B42" s="426" t="s">
        <v>693</v>
      </c>
      <c r="C42" s="262" t="s">
        <v>621</v>
      </c>
      <c r="D42" s="262" t="s">
        <v>621</v>
      </c>
      <c r="E42" s="262" t="s">
        <v>621</v>
      </c>
      <c r="F42" s="262" t="s">
        <v>621</v>
      </c>
      <c r="G42" s="262" t="s">
        <v>621</v>
      </c>
      <c r="H42" s="262" t="s">
        <v>621</v>
      </c>
      <c r="I42" s="262" t="s">
        <v>621</v>
      </c>
      <c r="J42" s="262" t="s">
        <v>621</v>
      </c>
      <c r="K42" s="262" t="s">
        <v>621</v>
      </c>
      <c r="L42" s="262">
        <v>31</v>
      </c>
      <c r="M42" s="262" t="s">
        <v>621</v>
      </c>
      <c r="N42" s="256">
        <v>3.8319999999999999</v>
      </c>
      <c r="O42" s="262" t="s">
        <v>621</v>
      </c>
      <c r="P42" s="262" t="s">
        <v>621</v>
      </c>
      <c r="Q42" s="262" t="s">
        <v>621</v>
      </c>
      <c r="R42" s="262" t="s">
        <v>621</v>
      </c>
      <c r="S42" s="262" t="s">
        <v>621</v>
      </c>
      <c r="T42" s="262" t="s">
        <v>621</v>
      </c>
      <c r="U42" s="262" t="s">
        <v>621</v>
      </c>
      <c r="V42" s="262" t="s">
        <v>621</v>
      </c>
      <c r="W42" s="262" t="s">
        <v>621</v>
      </c>
      <c r="X42" s="262" t="s">
        <v>621</v>
      </c>
      <c r="Y42" s="262" t="s">
        <v>621</v>
      </c>
      <c r="Z42" s="262" t="s">
        <v>621</v>
      </c>
      <c r="AA42" s="262" t="s">
        <v>621</v>
      </c>
      <c r="AB42" s="262" t="s">
        <v>621</v>
      </c>
      <c r="AC42" s="262" t="s">
        <v>621</v>
      </c>
      <c r="AD42" s="262" t="s">
        <v>621</v>
      </c>
      <c r="AE42" s="262" t="s">
        <v>621</v>
      </c>
      <c r="AF42" s="262" t="s">
        <v>621</v>
      </c>
      <c r="AG42" s="262" t="s">
        <v>621</v>
      </c>
      <c r="AH42" s="262" t="s">
        <v>621</v>
      </c>
      <c r="AI42" s="262" t="s">
        <v>621</v>
      </c>
      <c r="AJ42" s="262" t="s">
        <v>621</v>
      </c>
      <c r="AK42" s="262" t="s">
        <v>621</v>
      </c>
      <c r="AL42" s="262" t="s">
        <v>621</v>
      </c>
      <c r="AM42" s="262" t="s">
        <v>621</v>
      </c>
      <c r="AN42" s="262" t="s">
        <v>621</v>
      </c>
      <c r="AO42" s="262" t="s">
        <v>621</v>
      </c>
      <c r="AP42" s="262" t="s">
        <v>621</v>
      </c>
      <c r="AQ42" s="262" t="s">
        <v>621</v>
      </c>
      <c r="AR42" s="262" t="s">
        <v>621</v>
      </c>
      <c r="AS42" s="262" t="s">
        <v>621</v>
      </c>
    </row>
    <row r="43" spans="1:45" s="236" customFormat="1" ht="276.75" hidden="1" x14ac:dyDescent="0.45">
      <c r="A43" s="316" t="s">
        <v>580</v>
      </c>
      <c r="B43" s="426" t="s">
        <v>694</v>
      </c>
      <c r="C43" s="262" t="s">
        <v>621</v>
      </c>
      <c r="D43" s="262" t="s">
        <v>621</v>
      </c>
      <c r="E43" s="262" t="s">
        <v>621</v>
      </c>
      <c r="F43" s="262" t="s">
        <v>621</v>
      </c>
      <c r="G43" s="262" t="s">
        <v>621</v>
      </c>
      <c r="H43" s="262" t="s">
        <v>621</v>
      </c>
      <c r="I43" s="262" t="s">
        <v>621</v>
      </c>
      <c r="J43" s="262" t="s">
        <v>621</v>
      </c>
      <c r="K43" s="262" t="s">
        <v>621</v>
      </c>
      <c r="L43" s="262">
        <v>31</v>
      </c>
      <c r="M43" s="262" t="s">
        <v>621</v>
      </c>
      <c r="N43" s="256">
        <v>3.8319999999999999</v>
      </c>
      <c r="O43" s="262" t="s">
        <v>621</v>
      </c>
      <c r="P43" s="262" t="s">
        <v>621</v>
      </c>
      <c r="Q43" s="262" t="s">
        <v>621</v>
      </c>
      <c r="R43" s="262" t="s">
        <v>621</v>
      </c>
      <c r="S43" s="262" t="s">
        <v>621</v>
      </c>
      <c r="T43" s="262" t="s">
        <v>621</v>
      </c>
      <c r="U43" s="262" t="s">
        <v>621</v>
      </c>
      <c r="V43" s="262" t="s">
        <v>621</v>
      </c>
      <c r="W43" s="262" t="s">
        <v>621</v>
      </c>
      <c r="X43" s="262" t="s">
        <v>621</v>
      </c>
      <c r="Y43" s="262" t="s">
        <v>621</v>
      </c>
      <c r="Z43" s="262" t="s">
        <v>621</v>
      </c>
      <c r="AA43" s="262" t="s">
        <v>621</v>
      </c>
      <c r="AB43" s="262" t="s">
        <v>621</v>
      </c>
      <c r="AC43" s="262" t="s">
        <v>621</v>
      </c>
      <c r="AD43" s="262" t="s">
        <v>621</v>
      </c>
      <c r="AE43" s="262" t="s">
        <v>621</v>
      </c>
      <c r="AF43" s="262" t="s">
        <v>621</v>
      </c>
      <c r="AG43" s="262" t="s">
        <v>621</v>
      </c>
      <c r="AH43" s="262" t="s">
        <v>621</v>
      </c>
      <c r="AI43" s="262" t="s">
        <v>621</v>
      </c>
      <c r="AJ43" s="262" t="s">
        <v>621</v>
      </c>
      <c r="AK43" s="262" t="s">
        <v>621</v>
      </c>
      <c r="AL43" s="262" t="s">
        <v>621</v>
      </c>
      <c r="AM43" s="262" t="s">
        <v>621</v>
      </c>
      <c r="AN43" s="262" t="s">
        <v>621</v>
      </c>
      <c r="AO43" s="262" t="s">
        <v>621</v>
      </c>
      <c r="AP43" s="262" t="s">
        <v>621</v>
      </c>
      <c r="AQ43" s="262" t="s">
        <v>621</v>
      </c>
      <c r="AR43" s="262" t="s">
        <v>621</v>
      </c>
      <c r="AS43" s="262" t="s">
        <v>621</v>
      </c>
    </row>
    <row r="44" spans="1:45" s="236" customFormat="1" ht="169.5" hidden="1" customHeight="1" x14ac:dyDescent="0.45">
      <c r="A44" s="316" t="s">
        <v>581</v>
      </c>
      <c r="B44" s="427" t="s">
        <v>744</v>
      </c>
      <c r="C44" s="262" t="s">
        <v>621</v>
      </c>
      <c r="D44" s="262" t="s">
        <v>621</v>
      </c>
      <c r="E44" s="262" t="s">
        <v>621</v>
      </c>
      <c r="F44" s="262" t="s">
        <v>621</v>
      </c>
      <c r="G44" s="262" t="s">
        <v>621</v>
      </c>
      <c r="H44" s="262" t="s">
        <v>621</v>
      </c>
      <c r="I44" s="262" t="s">
        <v>621</v>
      </c>
      <c r="J44" s="262" t="s">
        <v>621</v>
      </c>
      <c r="K44" s="262" t="s">
        <v>621</v>
      </c>
      <c r="L44" s="262">
        <v>31</v>
      </c>
      <c r="M44" s="262" t="s">
        <v>621</v>
      </c>
      <c r="N44" s="256">
        <v>3.8319999999999999</v>
      </c>
      <c r="O44" s="262" t="s">
        <v>621</v>
      </c>
      <c r="P44" s="262" t="s">
        <v>621</v>
      </c>
      <c r="Q44" s="262" t="s">
        <v>621</v>
      </c>
      <c r="R44" s="262" t="s">
        <v>621</v>
      </c>
      <c r="S44" s="262" t="s">
        <v>621</v>
      </c>
      <c r="T44" s="262" t="s">
        <v>621</v>
      </c>
      <c r="U44" s="262" t="s">
        <v>621</v>
      </c>
      <c r="V44" s="262" t="s">
        <v>621</v>
      </c>
      <c r="W44" s="262" t="s">
        <v>621</v>
      </c>
      <c r="X44" s="262" t="s">
        <v>621</v>
      </c>
      <c r="Y44" s="262" t="s">
        <v>621</v>
      </c>
      <c r="Z44" s="262" t="s">
        <v>621</v>
      </c>
      <c r="AA44" s="262" t="s">
        <v>621</v>
      </c>
      <c r="AB44" s="262" t="s">
        <v>621</v>
      </c>
      <c r="AC44" s="262" t="s">
        <v>621</v>
      </c>
      <c r="AD44" s="262" t="s">
        <v>621</v>
      </c>
      <c r="AE44" s="262" t="s">
        <v>621</v>
      </c>
      <c r="AF44" s="262" t="s">
        <v>621</v>
      </c>
      <c r="AG44" s="262" t="s">
        <v>621</v>
      </c>
      <c r="AH44" s="262" t="s">
        <v>621</v>
      </c>
      <c r="AI44" s="262" t="s">
        <v>621</v>
      </c>
      <c r="AJ44" s="262" t="s">
        <v>621</v>
      </c>
      <c r="AK44" s="262" t="s">
        <v>621</v>
      </c>
      <c r="AL44" s="262" t="s">
        <v>621</v>
      </c>
      <c r="AM44" s="262" t="s">
        <v>621</v>
      </c>
      <c r="AN44" s="262" t="s">
        <v>621</v>
      </c>
      <c r="AO44" s="262" t="s">
        <v>621</v>
      </c>
      <c r="AP44" s="262" t="s">
        <v>621</v>
      </c>
      <c r="AQ44" s="262" t="s">
        <v>621</v>
      </c>
      <c r="AR44" s="262" t="s">
        <v>621</v>
      </c>
      <c r="AS44" s="262" t="s">
        <v>621</v>
      </c>
    </row>
    <row r="45" spans="1:45" s="236" customFormat="1" ht="80.25" customHeight="1" x14ac:dyDescent="0.45">
      <c r="A45" s="472" t="s">
        <v>539</v>
      </c>
      <c r="B45" s="473" t="s">
        <v>695</v>
      </c>
      <c r="C45" s="474" t="s">
        <v>621</v>
      </c>
      <c r="D45" s="474" t="s">
        <v>621</v>
      </c>
      <c r="E45" s="474" t="s">
        <v>621</v>
      </c>
      <c r="F45" s="474" t="s">
        <v>621</v>
      </c>
      <c r="G45" s="474" t="s">
        <v>621</v>
      </c>
      <c r="H45" s="474" t="s">
        <v>621</v>
      </c>
      <c r="I45" s="474" t="s">
        <v>621</v>
      </c>
      <c r="J45" s="474" t="s">
        <v>621</v>
      </c>
      <c r="K45" s="474" t="s">
        <v>621</v>
      </c>
      <c r="L45" s="474">
        <f>L65</f>
        <v>36</v>
      </c>
      <c r="M45" s="474" t="s">
        <v>621</v>
      </c>
      <c r="N45" s="475">
        <f>N49</f>
        <v>3.1389999999999998</v>
      </c>
      <c r="O45" s="474" t="s">
        <v>621</v>
      </c>
      <c r="P45" s="474" t="s">
        <v>621</v>
      </c>
      <c r="Q45" s="474" t="s">
        <v>621</v>
      </c>
      <c r="R45" s="474" t="s">
        <v>621</v>
      </c>
      <c r="S45" s="474" t="s">
        <v>621</v>
      </c>
      <c r="T45" s="474">
        <v>2824</v>
      </c>
      <c r="U45" s="474" t="s">
        <v>621</v>
      </c>
      <c r="V45" s="474" t="s">
        <v>621</v>
      </c>
      <c r="W45" s="474" t="s">
        <v>621</v>
      </c>
      <c r="X45" s="474" t="s">
        <v>621</v>
      </c>
      <c r="Y45" s="474" t="s">
        <v>621</v>
      </c>
      <c r="Z45" s="474" t="s">
        <v>621</v>
      </c>
      <c r="AA45" s="474" t="s">
        <v>621</v>
      </c>
      <c r="AB45" s="474" t="s">
        <v>621</v>
      </c>
      <c r="AC45" s="474" t="s">
        <v>621</v>
      </c>
      <c r="AD45" s="474" t="s">
        <v>621</v>
      </c>
      <c r="AE45" s="474" t="s">
        <v>621</v>
      </c>
      <c r="AF45" s="474" t="s">
        <v>621</v>
      </c>
      <c r="AG45" s="474" t="s">
        <v>621</v>
      </c>
      <c r="AH45" s="474" t="s">
        <v>621</v>
      </c>
      <c r="AI45" s="474" t="s">
        <v>621</v>
      </c>
      <c r="AJ45" s="474" t="s">
        <v>621</v>
      </c>
      <c r="AK45" s="474" t="s">
        <v>621</v>
      </c>
      <c r="AL45" s="474" t="s">
        <v>621</v>
      </c>
      <c r="AM45" s="474" t="s">
        <v>621</v>
      </c>
      <c r="AN45" s="474" t="s">
        <v>621</v>
      </c>
      <c r="AO45" s="474" t="s">
        <v>621</v>
      </c>
      <c r="AP45" s="474" t="s">
        <v>621</v>
      </c>
      <c r="AQ45" s="474" t="s">
        <v>621</v>
      </c>
      <c r="AR45" s="474" t="s">
        <v>621</v>
      </c>
      <c r="AS45" s="474" t="s">
        <v>621</v>
      </c>
    </row>
    <row r="46" spans="1:45" s="236" customFormat="1" ht="169.5" hidden="1" customHeight="1" x14ac:dyDescent="0.45">
      <c r="A46" s="476" t="s">
        <v>544</v>
      </c>
      <c r="B46" s="477" t="s">
        <v>696</v>
      </c>
      <c r="C46" s="478" t="s">
        <v>621</v>
      </c>
      <c r="D46" s="478" t="s">
        <v>621</v>
      </c>
      <c r="E46" s="478" t="s">
        <v>621</v>
      </c>
      <c r="F46" s="478" t="s">
        <v>621</v>
      </c>
      <c r="G46" s="478" t="s">
        <v>621</v>
      </c>
      <c r="H46" s="478" t="s">
        <v>621</v>
      </c>
      <c r="I46" s="478" t="s">
        <v>621</v>
      </c>
      <c r="J46" s="478" t="s">
        <v>621</v>
      </c>
      <c r="K46" s="478" t="s">
        <v>621</v>
      </c>
      <c r="L46" s="478">
        <v>31</v>
      </c>
      <c r="M46" s="478" t="s">
        <v>621</v>
      </c>
      <c r="N46" s="479">
        <v>3.8319999999999999</v>
      </c>
      <c r="O46" s="478" t="s">
        <v>621</v>
      </c>
      <c r="P46" s="478" t="s">
        <v>621</v>
      </c>
      <c r="Q46" s="478" t="s">
        <v>621</v>
      </c>
      <c r="R46" s="478" t="s">
        <v>621</v>
      </c>
      <c r="S46" s="478" t="s">
        <v>621</v>
      </c>
      <c r="T46" s="478" t="s">
        <v>621</v>
      </c>
      <c r="U46" s="478" t="s">
        <v>621</v>
      </c>
      <c r="V46" s="478" t="s">
        <v>621</v>
      </c>
      <c r="W46" s="478" t="s">
        <v>621</v>
      </c>
      <c r="X46" s="478" t="s">
        <v>621</v>
      </c>
      <c r="Y46" s="478" t="s">
        <v>621</v>
      </c>
      <c r="Z46" s="478" t="s">
        <v>621</v>
      </c>
      <c r="AA46" s="478" t="s">
        <v>621</v>
      </c>
      <c r="AB46" s="478" t="s">
        <v>621</v>
      </c>
      <c r="AC46" s="478" t="s">
        <v>621</v>
      </c>
      <c r="AD46" s="478" t="s">
        <v>621</v>
      </c>
      <c r="AE46" s="478" t="s">
        <v>621</v>
      </c>
      <c r="AF46" s="478" t="s">
        <v>621</v>
      </c>
      <c r="AG46" s="478" t="s">
        <v>621</v>
      </c>
      <c r="AH46" s="478" t="s">
        <v>621</v>
      </c>
      <c r="AI46" s="478" t="s">
        <v>621</v>
      </c>
      <c r="AJ46" s="478" t="s">
        <v>621</v>
      </c>
      <c r="AK46" s="478" t="s">
        <v>621</v>
      </c>
      <c r="AL46" s="478" t="s">
        <v>621</v>
      </c>
      <c r="AM46" s="478" t="s">
        <v>621</v>
      </c>
      <c r="AN46" s="478" t="s">
        <v>621</v>
      </c>
      <c r="AO46" s="478" t="s">
        <v>621</v>
      </c>
      <c r="AP46" s="478" t="s">
        <v>621</v>
      </c>
      <c r="AQ46" s="478" t="s">
        <v>621</v>
      </c>
      <c r="AR46" s="478" t="s">
        <v>621</v>
      </c>
      <c r="AS46" s="478" t="s">
        <v>621</v>
      </c>
    </row>
    <row r="47" spans="1:45" s="236" customFormat="1" ht="184.5" hidden="1" x14ac:dyDescent="0.45">
      <c r="A47" s="476" t="s">
        <v>591</v>
      </c>
      <c r="B47" s="477" t="s">
        <v>745</v>
      </c>
      <c r="C47" s="478" t="s">
        <v>621</v>
      </c>
      <c r="D47" s="478" t="s">
        <v>621</v>
      </c>
      <c r="E47" s="478" t="s">
        <v>621</v>
      </c>
      <c r="F47" s="478" t="s">
        <v>621</v>
      </c>
      <c r="G47" s="478" t="s">
        <v>621</v>
      </c>
      <c r="H47" s="478" t="s">
        <v>621</v>
      </c>
      <c r="I47" s="478" t="s">
        <v>621</v>
      </c>
      <c r="J47" s="478" t="s">
        <v>621</v>
      </c>
      <c r="K47" s="478" t="s">
        <v>621</v>
      </c>
      <c r="L47" s="478">
        <v>31</v>
      </c>
      <c r="M47" s="478" t="s">
        <v>621</v>
      </c>
      <c r="N47" s="479">
        <v>3.8319999999999999</v>
      </c>
      <c r="O47" s="478" t="s">
        <v>621</v>
      </c>
      <c r="P47" s="478" t="s">
        <v>621</v>
      </c>
      <c r="Q47" s="478" t="s">
        <v>621</v>
      </c>
      <c r="R47" s="478" t="s">
        <v>621</v>
      </c>
      <c r="S47" s="478" t="s">
        <v>621</v>
      </c>
      <c r="T47" s="478" t="s">
        <v>621</v>
      </c>
      <c r="U47" s="478" t="s">
        <v>621</v>
      </c>
      <c r="V47" s="478" t="s">
        <v>621</v>
      </c>
      <c r="W47" s="478" t="s">
        <v>621</v>
      </c>
      <c r="X47" s="478" t="s">
        <v>621</v>
      </c>
      <c r="Y47" s="478" t="s">
        <v>621</v>
      </c>
      <c r="Z47" s="478" t="s">
        <v>621</v>
      </c>
      <c r="AA47" s="478" t="s">
        <v>621</v>
      </c>
      <c r="AB47" s="478" t="s">
        <v>621</v>
      </c>
      <c r="AC47" s="478" t="s">
        <v>621</v>
      </c>
      <c r="AD47" s="478" t="s">
        <v>621</v>
      </c>
      <c r="AE47" s="478" t="s">
        <v>621</v>
      </c>
      <c r="AF47" s="478" t="s">
        <v>621</v>
      </c>
      <c r="AG47" s="478" t="s">
        <v>621</v>
      </c>
      <c r="AH47" s="478" t="s">
        <v>621</v>
      </c>
      <c r="AI47" s="478" t="s">
        <v>621</v>
      </c>
      <c r="AJ47" s="478" t="s">
        <v>621</v>
      </c>
      <c r="AK47" s="478" t="s">
        <v>621</v>
      </c>
      <c r="AL47" s="478" t="s">
        <v>621</v>
      </c>
      <c r="AM47" s="478" t="s">
        <v>621</v>
      </c>
      <c r="AN47" s="478" t="s">
        <v>621</v>
      </c>
      <c r="AO47" s="478" t="s">
        <v>621</v>
      </c>
      <c r="AP47" s="478" t="s">
        <v>621</v>
      </c>
      <c r="AQ47" s="478" t="s">
        <v>621</v>
      </c>
      <c r="AR47" s="478" t="s">
        <v>621</v>
      </c>
      <c r="AS47" s="478" t="s">
        <v>621</v>
      </c>
    </row>
    <row r="48" spans="1:45" s="236" customFormat="1" ht="246" hidden="1" x14ac:dyDescent="0.45">
      <c r="A48" s="476" t="s">
        <v>592</v>
      </c>
      <c r="B48" s="477" t="s">
        <v>737</v>
      </c>
      <c r="C48" s="478" t="s">
        <v>621</v>
      </c>
      <c r="D48" s="478" t="s">
        <v>621</v>
      </c>
      <c r="E48" s="478" t="s">
        <v>621</v>
      </c>
      <c r="F48" s="478" t="s">
        <v>621</v>
      </c>
      <c r="G48" s="478" t="s">
        <v>621</v>
      </c>
      <c r="H48" s="478" t="s">
        <v>621</v>
      </c>
      <c r="I48" s="478" t="s">
        <v>621</v>
      </c>
      <c r="J48" s="478" t="s">
        <v>621</v>
      </c>
      <c r="K48" s="478" t="s">
        <v>621</v>
      </c>
      <c r="L48" s="478">
        <v>31</v>
      </c>
      <c r="M48" s="478" t="s">
        <v>621</v>
      </c>
      <c r="N48" s="479">
        <v>3.8319999999999999</v>
      </c>
      <c r="O48" s="478" t="s">
        <v>621</v>
      </c>
      <c r="P48" s="478" t="s">
        <v>621</v>
      </c>
      <c r="Q48" s="478" t="s">
        <v>621</v>
      </c>
      <c r="R48" s="478" t="s">
        <v>621</v>
      </c>
      <c r="S48" s="478" t="s">
        <v>621</v>
      </c>
      <c r="T48" s="478" t="s">
        <v>621</v>
      </c>
      <c r="U48" s="478" t="s">
        <v>621</v>
      </c>
      <c r="V48" s="478" t="s">
        <v>621</v>
      </c>
      <c r="W48" s="478" t="s">
        <v>621</v>
      </c>
      <c r="X48" s="478" t="s">
        <v>621</v>
      </c>
      <c r="Y48" s="478" t="s">
        <v>621</v>
      </c>
      <c r="Z48" s="478" t="s">
        <v>621</v>
      </c>
      <c r="AA48" s="478" t="s">
        <v>621</v>
      </c>
      <c r="AB48" s="478" t="s">
        <v>621</v>
      </c>
      <c r="AC48" s="478" t="s">
        <v>621</v>
      </c>
      <c r="AD48" s="478" t="s">
        <v>621</v>
      </c>
      <c r="AE48" s="478" t="s">
        <v>621</v>
      </c>
      <c r="AF48" s="478" t="s">
        <v>621</v>
      </c>
      <c r="AG48" s="478" t="s">
        <v>621</v>
      </c>
      <c r="AH48" s="478" t="s">
        <v>621</v>
      </c>
      <c r="AI48" s="478" t="s">
        <v>621</v>
      </c>
      <c r="AJ48" s="478" t="s">
        <v>621</v>
      </c>
      <c r="AK48" s="478" t="s">
        <v>621</v>
      </c>
      <c r="AL48" s="478" t="s">
        <v>621</v>
      </c>
      <c r="AM48" s="478" t="s">
        <v>621</v>
      </c>
      <c r="AN48" s="478" t="s">
        <v>621</v>
      </c>
      <c r="AO48" s="478" t="s">
        <v>621</v>
      </c>
      <c r="AP48" s="478" t="s">
        <v>621</v>
      </c>
      <c r="AQ48" s="478" t="s">
        <v>621</v>
      </c>
      <c r="AR48" s="478" t="s">
        <v>621</v>
      </c>
      <c r="AS48" s="478" t="s">
        <v>621</v>
      </c>
    </row>
    <row r="49" spans="1:45" s="236" customFormat="1" ht="123.75" customHeight="1" x14ac:dyDescent="0.45">
      <c r="A49" s="476" t="s">
        <v>545</v>
      </c>
      <c r="B49" s="477" t="s">
        <v>697</v>
      </c>
      <c r="C49" s="478" t="s">
        <v>621</v>
      </c>
      <c r="D49" s="478" t="s">
        <v>621</v>
      </c>
      <c r="E49" s="478" t="s">
        <v>621</v>
      </c>
      <c r="F49" s="478" t="s">
        <v>621</v>
      </c>
      <c r="G49" s="478" t="s">
        <v>621</v>
      </c>
      <c r="H49" s="478" t="s">
        <v>621</v>
      </c>
      <c r="I49" s="478" t="s">
        <v>621</v>
      </c>
      <c r="J49" s="478" t="s">
        <v>621</v>
      </c>
      <c r="K49" s="478" t="s">
        <v>621</v>
      </c>
      <c r="L49" s="478" t="s">
        <v>621</v>
      </c>
      <c r="M49" s="478" t="s">
        <v>621</v>
      </c>
      <c r="N49" s="479">
        <f>N50</f>
        <v>3.1389999999999998</v>
      </c>
      <c r="O49" s="478" t="s">
        <v>621</v>
      </c>
      <c r="P49" s="478" t="s">
        <v>621</v>
      </c>
      <c r="Q49" s="478" t="s">
        <v>621</v>
      </c>
      <c r="R49" s="478" t="s">
        <v>621</v>
      </c>
      <c r="S49" s="478" t="s">
        <v>621</v>
      </c>
      <c r="T49" s="478" t="s">
        <v>621</v>
      </c>
      <c r="U49" s="478" t="s">
        <v>621</v>
      </c>
      <c r="V49" s="478" t="s">
        <v>621</v>
      </c>
      <c r="W49" s="478" t="s">
        <v>621</v>
      </c>
      <c r="X49" s="478" t="s">
        <v>621</v>
      </c>
      <c r="Y49" s="478" t="s">
        <v>621</v>
      </c>
      <c r="Z49" s="478" t="s">
        <v>621</v>
      </c>
      <c r="AA49" s="478" t="s">
        <v>621</v>
      </c>
      <c r="AB49" s="478" t="s">
        <v>621</v>
      </c>
      <c r="AC49" s="478" t="s">
        <v>621</v>
      </c>
      <c r="AD49" s="478" t="s">
        <v>621</v>
      </c>
      <c r="AE49" s="478" t="s">
        <v>621</v>
      </c>
      <c r="AF49" s="478" t="s">
        <v>621</v>
      </c>
      <c r="AG49" s="478" t="s">
        <v>621</v>
      </c>
      <c r="AH49" s="478" t="s">
        <v>621</v>
      </c>
      <c r="AI49" s="478" t="s">
        <v>621</v>
      </c>
      <c r="AJ49" s="478" t="s">
        <v>621</v>
      </c>
      <c r="AK49" s="478" t="s">
        <v>621</v>
      </c>
      <c r="AL49" s="478" t="s">
        <v>621</v>
      </c>
      <c r="AM49" s="478" t="s">
        <v>621</v>
      </c>
      <c r="AN49" s="478" t="s">
        <v>621</v>
      </c>
      <c r="AO49" s="478" t="s">
        <v>621</v>
      </c>
      <c r="AP49" s="478" t="s">
        <v>621</v>
      </c>
      <c r="AQ49" s="478" t="s">
        <v>621</v>
      </c>
      <c r="AR49" s="478" t="s">
        <v>621</v>
      </c>
      <c r="AS49" s="478" t="s">
        <v>621</v>
      </c>
    </row>
    <row r="50" spans="1:45" s="236" customFormat="1" ht="118.5" customHeight="1" x14ac:dyDescent="0.45">
      <c r="A50" s="476" t="s">
        <v>595</v>
      </c>
      <c r="B50" s="477" t="s">
        <v>746</v>
      </c>
      <c r="C50" s="478" t="s">
        <v>621</v>
      </c>
      <c r="D50" s="478" t="s">
        <v>621</v>
      </c>
      <c r="E50" s="478" t="s">
        <v>621</v>
      </c>
      <c r="F50" s="478" t="s">
        <v>621</v>
      </c>
      <c r="G50" s="478" t="s">
        <v>621</v>
      </c>
      <c r="H50" s="478" t="s">
        <v>621</v>
      </c>
      <c r="I50" s="478" t="s">
        <v>621</v>
      </c>
      <c r="J50" s="478" t="s">
        <v>621</v>
      </c>
      <c r="K50" s="478" t="s">
        <v>621</v>
      </c>
      <c r="L50" s="478" t="s">
        <v>621</v>
      </c>
      <c r="M50" s="478" t="s">
        <v>621</v>
      </c>
      <c r="N50" s="479">
        <f>N51+N52+N53</f>
        <v>3.1389999999999998</v>
      </c>
      <c r="O50" s="478" t="s">
        <v>621</v>
      </c>
      <c r="P50" s="478" t="s">
        <v>621</v>
      </c>
      <c r="Q50" s="478" t="s">
        <v>621</v>
      </c>
      <c r="R50" s="478" t="s">
        <v>621</v>
      </c>
      <c r="S50" s="478" t="s">
        <v>621</v>
      </c>
      <c r="T50" s="478" t="s">
        <v>621</v>
      </c>
      <c r="U50" s="478" t="s">
        <v>621</v>
      </c>
      <c r="V50" s="478" t="s">
        <v>621</v>
      </c>
      <c r="W50" s="478" t="s">
        <v>621</v>
      </c>
      <c r="X50" s="478" t="s">
        <v>621</v>
      </c>
      <c r="Y50" s="478" t="s">
        <v>621</v>
      </c>
      <c r="Z50" s="478" t="s">
        <v>621</v>
      </c>
      <c r="AA50" s="478" t="s">
        <v>621</v>
      </c>
      <c r="AB50" s="478" t="s">
        <v>621</v>
      </c>
      <c r="AC50" s="478" t="s">
        <v>621</v>
      </c>
      <c r="AD50" s="478" t="s">
        <v>621</v>
      </c>
      <c r="AE50" s="478" t="s">
        <v>621</v>
      </c>
      <c r="AF50" s="478" t="s">
        <v>621</v>
      </c>
      <c r="AG50" s="478" t="s">
        <v>621</v>
      </c>
      <c r="AH50" s="478" t="s">
        <v>621</v>
      </c>
      <c r="AI50" s="478" t="s">
        <v>621</v>
      </c>
      <c r="AJ50" s="478" t="s">
        <v>621</v>
      </c>
      <c r="AK50" s="478" t="s">
        <v>621</v>
      </c>
      <c r="AL50" s="478" t="s">
        <v>621</v>
      </c>
      <c r="AM50" s="478" t="s">
        <v>621</v>
      </c>
      <c r="AN50" s="478" t="s">
        <v>621</v>
      </c>
      <c r="AO50" s="478" t="s">
        <v>621</v>
      </c>
      <c r="AP50" s="478" t="s">
        <v>621</v>
      </c>
      <c r="AQ50" s="478" t="s">
        <v>621</v>
      </c>
      <c r="AR50" s="478" t="s">
        <v>621</v>
      </c>
      <c r="AS50" s="478" t="s">
        <v>621</v>
      </c>
    </row>
    <row r="51" spans="1:45" s="483" customFormat="1" ht="109.5" customHeight="1" x14ac:dyDescent="0.45">
      <c r="A51" s="480" t="s">
        <v>874</v>
      </c>
      <c r="B51" s="481" t="s">
        <v>821</v>
      </c>
      <c r="C51" s="482" t="str">
        <f>CONCATENATE("J","_",2024,"_",A51)</f>
        <v>J_2024_1.2.2.1.10</v>
      </c>
      <c r="D51" s="482" t="s">
        <v>621</v>
      </c>
      <c r="E51" s="482" t="s">
        <v>621</v>
      </c>
      <c r="F51" s="482" t="s">
        <v>621</v>
      </c>
      <c r="G51" s="482" t="s">
        <v>621</v>
      </c>
      <c r="H51" s="482" t="s">
        <v>621</v>
      </c>
      <c r="I51" s="482" t="s">
        <v>621</v>
      </c>
      <c r="J51" s="482" t="s">
        <v>621</v>
      </c>
      <c r="K51" s="482" t="s">
        <v>621</v>
      </c>
      <c r="L51" s="482" t="s">
        <v>621</v>
      </c>
      <c r="M51" s="482" t="s">
        <v>621</v>
      </c>
      <c r="N51" s="354">
        <v>1.538</v>
      </c>
      <c r="O51" s="482" t="s">
        <v>621</v>
      </c>
      <c r="P51" s="482" t="s">
        <v>621</v>
      </c>
      <c r="Q51" s="482" t="s">
        <v>621</v>
      </c>
      <c r="R51" s="482" t="s">
        <v>621</v>
      </c>
      <c r="S51" s="482" t="s">
        <v>621</v>
      </c>
      <c r="T51" s="482" t="s">
        <v>621</v>
      </c>
      <c r="U51" s="482" t="s">
        <v>621</v>
      </c>
      <c r="V51" s="482" t="s">
        <v>621</v>
      </c>
      <c r="W51" s="482" t="s">
        <v>621</v>
      </c>
      <c r="X51" s="482" t="s">
        <v>621</v>
      </c>
      <c r="Y51" s="482" t="s">
        <v>621</v>
      </c>
      <c r="Z51" s="482" t="s">
        <v>621</v>
      </c>
      <c r="AA51" s="482" t="s">
        <v>621</v>
      </c>
      <c r="AB51" s="482" t="s">
        <v>621</v>
      </c>
      <c r="AC51" s="482" t="s">
        <v>621</v>
      </c>
      <c r="AD51" s="482" t="s">
        <v>621</v>
      </c>
      <c r="AE51" s="482" t="s">
        <v>621</v>
      </c>
      <c r="AF51" s="482" t="s">
        <v>621</v>
      </c>
      <c r="AG51" s="482" t="s">
        <v>621</v>
      </c>
      <c r="AH51" s="482" t="s">
        <v>621</v>
      </c>
      <c r="AI51" s="482" t="s">
        <v>621</v>
      </c>
      <c r="AJ51" s="482" t="s">
        <v>621</v>
      </c>
      <c r="AK51" s="482" t="s">
        <v>621</v>
      </c>
      <c r="AL51" s="482" t="s">
        <v>621</v>
      </c>
      <c r="AM51" s="482" t="s">
        <v>621</v>
      </c>
      <c r="AN51" s="482" t="s">
        <v>621</v>
      </c>
      <c r="AO51" s="482" t="s">
        <v>621</v>
      </c>
      <c r="AP51" s="482" t="s">
        <v>621</v>
      </c>
      <c r="AQ51" s="482" t="s">
        <v>621</v>
      </c>
      <c r="AR51" s="482" t="s">
        <v>621</v>
      </c>
      <c r="AS51" s="482" t="s">
        <v>621</v>
      </c>
    </row>
    <row r="52" spans="1:45" s="483" customFormat="1" ht="183" customHeight="1" x14ac:dyDescent="0.45">
      <c r="A52" s="480" t="s">
        <v>875</v>
      </c>
      <c r="B52" s="481" t="s">
        <v>1042</v>
      </c>
      <c r="C52" s="482" t="str">
        <f>CONCATENATE("J","_",2024,"_",A52)</f>
        <v>J_2024_1.2.2.1.11</v>
      </c>
      <c r="D52" s="482" t="s">
        <v>621</v>
      </c>
      <c r="E52" s="482" t="s">
        <v>621</v>
      </c>
      <c r="F52" s="482" t="s">
        <v>621</v>
      </c>
      <c r="G52" s="482" t="s">
        <v>621</v>
      </c>
      <c r="H52" s="482" t="s">
        <v>621</v>
      </c>
      <c r="I52" s="482" t="s">
        <v>621</v>
      </c>
      <c r="J52" s="482" t="s">
        <v>621</v>
      </c>
      <c r="K52" s="482" t="s">
        <v>621</v>
      </c>
      <c r="L52" s="482" t="s">
        <v>621</v>
      </c>
      <c r="M52" s="482" t="s">
        <v>621</v>
      </c>
      <c r="N52" s="354">
        <v>0.59499999999999997</v>
      </c>
      <c r="O52" s="482" t="s">
        <v>621</v>
      </c>
      <c r="P52" s="482" t="s">
        <v>621</v>
      </c>
      <c r="Q52" s="482" t="s">
        <v>621</v>
      </c>
      <c r="R52" s="482" t="s">
        <v>621</v>
      </c>
      <c r="S52" s="482" t="s">
        <v>621</v>
      </c>
      <c r="T52" s="482" t="s">
        <v>621</v>
      </c>
      <c r="U52" s="482" t="s">
        <v>621</v>
      </c>
      <c r="V52" s="482" t="s">
        <v>621</v>
      </c>
      <c r="W52" s="482" t="s">
        <v>621</v>
      </c>
      <c r="X52" s="482" t="s">
        <v>621</v>
      </c>
      <c r="Y52" s="482" t="s">
        <v>621</v>
      </c>
      <c r="Z52" s="482" t="s">
        <v>621</v>
      </c>
      <c r="AA52" s="482" t="s">
        <v>621</v>
      </c>
      <c r="AB52" s="482" t="s">
        <v>621</v>
      </c>
      <c r="AC52" s="482" t="s">
        <v>621</v>
      </c>
      <c r="AD52" s="482" t="s">
        <v>621</v>
      </c>
      <c r="AE52" s="482" t="s">
        <v>621</v>
      </c>
      <c r="AF52" s="482" t="s">
        <v>621</v>
      </c>
      <c r="AG52" s="482" t="s">
        <v>621</v>
      </c>
      <c r="AH52" s="482" t="s">
        <v>621</v>
      </c>
      <c r="AI52" s="482" t="s">
        <v>621</v>
      </c>
      <c r="AJ52" s="482" t="s">
        <v>621</v>
      </c>
      <c r="AK52" s="482" t="s">
        <v>621</v>
      </c>
      <c r="AL52" s="482" t="s">
        <v>621</v>
      </c>
      <c r="AM52" s="482" t="s">
        <v>621</v>
      </c>
      <c r="AN52" s="482" t="s">
        <v>621</v>
      </c>
      <c r="AO52" s="482" t="s">
        <v>621</v>
      </c>
      <c r="AP52" s="482" t="s">
        <v>621</v>
      </c>
      <c r="AQ52" s="482" t="s">
        <v>621</v>
      </c>
      <c r="AR52" s="482" t="s">
        <v>621</v>
      </c>
      <c r="AS52" s="482" t="s">
        <v>621</v>
      </c>
    </row>
    <row r="53" spans="1:45" s="483" customFormat="1" ht="109.5" customHeight="1" x14ac:dyDescent="0.45">
      <c r="A53" s="480" t="s">
        <v>884</v>
      </c>
      <c r="B53" s="481" t="s">
        <v>901</v>
      </c>
      <c r="C53" s="482" t="str">
        <f>CONCATENATE("J","_",2024,"_",A53)</f>
        <v>J_2024_1.2.2.1.12</v>
      </c>
      <c r="D53" s="482" t="s">
        <v>621</v>
      </c>
      <c r="E53" s="482" t="s">
        <v>621</v>
      </c>
      <c r="F53" s="482" t="s">
        <v>621</v>
      </c>
      <c r="G53" s="482" t="s">
        <v>621</v>
      </c>
      <c r="H53" s="482" t="s">
        <v>621</v>
      </c>
      <c r="I53" s="482" t="s">
        <v>621</v>
      </c>
      <c r="J53" s="482" t="s">
        <v>621</v>
      </c>
      <c r="K53" s="482" t="s">
        <v>621</v>
      </c>
      <c r="L53" s="482" t="s">
        <v>621</v>
      </c>
      <c r="M53" s="482" t="s">
        <v>621</v>
      </c>
      <c r="N53" s="354">
        <v>1.006</v>
      </c>
      <c r="O53" s="482" t="s">
        <v>621</v>
      </c>
      <c r="P53" s="482" t="s">
        <v>621</v>
      </c>
      <c r="Q53" s="482" t="s">
        <v>621</v>
      </c>
      <c r="R53" s="482" t="s">
        <v>621</v>
      </c>
      <c r="S53" s="482" t="s">
        <v>621</v>
      </c>
      <c r="T53" s="482" t="s">
        <v>621</v>
      </c>
      <c r="U53" s="482" t="s">
        <v>621</v>
      </c>
      <c r="V53" s="482" t="s">
        <v>621</v>
      </c>
      <c r="W53" s="482" t="s">
        <v>621</v>
      </c>
      <c r="X53" s="482" t="s">
        <v>621</v>
      </c>
      <c r="Y53" s="482" t="s">
        <v>621</v>
      </c>
      <c r="Z53" s="482" t="s">
        <v>621</v>
      </c>
      <c r="AA53" s="482" t="s">
        <v>621</v>
      </c>
      <c r="AB53" s="482" t="s">
        <v>621</v>
      </c>
      <c r="AC53" s="482" t="s">
        <v>621</v>
      </c>
      <c r="AD53" s="482" t="s">
        <v>621</v>
      </c>
      <c r="AE53" s="482" t="s">
        <v>621</v>
      </c>
      <c r="AF53" s="482" t="s">
        <v>621</v>
      </c>
      <c r="AG53" s="482" t="s">
        <v>621</v>
      </c>
      <c r="AH53" s="482" t="s">
        <v>621</v>
      </c>
      <c r="AI53" s="482" t="s">
        <v>621</v>
      </c>
      <c r="AJ53" s="482" t="s">
        <v>621</v>
      </c>
      <c r="AK53" s="482" t="s">
        <v>621</v>
      </c>
      <c r="AL53" s="482" t="s">
        <v>621</v>
      </c>
      <c r="AM53" s="482" t="s">
        <v>621</v>
      </c>
      <c r="AN53" s="482" t="s">
        <v>621</v>
      </c>
      <c r="AO53" s="482" t="s">
        <v>621</v>
      </c>
      <c r="AP53" s="482" t="s">
        <v>621</v>
      </c>
      <c r="AQ53" s="482" t="s">
        <v>621</v>
      </c>
      <c r="AR53" s="482" t="s">
        <v>621</v>
      </c>
      <c r="AS53" s="482" t="s">
        <v>621</v>
      </c>
    </row>
    <row r="54" spans="1:45" s="236" customFormat="1" ht="153.75" hidden="1" x14ac:dyDescent="0.45">
      <c r="A54" s="308" t="s">
        <v>596</v>
      </c>
      <c r="B54" s="441" t="s">
        <v>738</v>
      </c>
      <c r="C54" s="305" t="s">
        <v>621</v>
      </c>
      <c r="D54" s="305" t="s">
        <v>621</v>
      </c>
      <c r="E54" s="305" t="s">
        <v>621</v>
      </c>
      <c r="F54" s="305" t="s">
        <v>621</v>
      </c>
      <c r="G54" s="305" t="s">
        <v>621</v>
      </c>
      <c r="H54" s="305" t="s">
        <v>621</v>
      </c>
      <c r="I54" s="305" t="s">
        <v>621</v>
      </c>
      <c r="J54" s="305" t="s">
        <v>621</v>
      </c>
      <c r="K54" s="305" t="s">
        <v>621</v>
      </c>
      <c r="L54" s="305" t="s">
        <v>621</v>
      </c>
      <c r="M54" s="305" t="s">
        <v>621</v>
      </c>
      <c r="N54" s="305" t="s">
        <v>621</v>
      </c>
      <c r="O54" s="305" t="s">
        <v>621</v>
      </c>
      <c r="P54" s="305" t="s">
        <v>621</v>
      </c>
      <c r="Q54" s="305" t="s">
        <v>621</v>
      </c>
      <c r="R54" s="305" t="s">
        <v>621</v>
      </c>
      <c r="S54" s="305" t="s">
        <v>621</v>
      </c>
      <c r="T54" s="305" t="s">
        <v>621</v>
      </c>
      <c r="U54" s="305" t="s">
        <v>621</v>
      </c>
      <c r="V54" s="305" t="s">
        <v>621</v>
      </c>
      <c r="W54" s="305" t="s">
        <v>621</v>
      </c>
      <c r="X54" s="305" t="s">
        <v>621</v>
      </c>
      <c r="Y54" s="305" t="s">
        <v>621</v>
      </c>
      <c r="Z54" s="305" t="s">
        <v>621</v>
      </c>
      <c r="AA54" s="305" t="s">
        <v>621</v>
      </c>
      <c r="AB54" s="305" t="s">
        <v>621</v>
      </c>
      <c r="AC54" s="305" t="s">
        <v>621</v>
      </c>
      <c r="AD54" s="305" t="s">
        <v>621</v>
      </c>
      <c r="AE54" s="305" t="s">
        <v>621</v>
      </c>
      <c r="AF54" s="305" t="s">
        <v>621</v>
      </c>
      <c r="AG54" s="305" t="s">
        <v>621</v>
      </c>
      <c r="AH54" s="305" t="s">
        <v>621</v>
      </c>
      <c r="AI54" s="305" t="s">
        <v>621</v>
      </c>
      <c r="AJ54" s="305" t="s">
        <v>621</v>
      </c>
      <c r="AK54" s="305" t="s">
        <v>621</v>
      </c>
      <c r="AL54" s="305" t="s">
        <v>621</v>
      </c>
      <c r="AM54" s="305" t="s">
        <v>621</v>
      </c>
      <c r="AN54" s="305" t="s">
        <v>621</v>
      </c>
      <c r="AO54" s="305" t="s">
        <v>621</v>
      </c>
      <c r="AP54" s="305" t="s">
        <v>621</v>
      </c>
      <c r="AQ54" s="305" t="s">
        <v>621</v>
      </c>
      <c r="AR54" s="305" t="s">
        <v>621</v>
      </c>
      <c r="AS54" s="305" t="s">
        <v>621</v>
      </c>
    </row>
    <row r="55" spans="1:45" s="236" customFormat="1" ht="123" x14ac:dyDescent="0.45">
      <c r="A55" s="540" t="s">
        <v>546</v>
      </c>
      <c r="B55" s="541" t="s">
        <v>739</v>
      </c>
      <c r="C55" s="542" t="s">
        <v>621</v>
      </c>
      <c r="D55" s="746" t="s">
        <v>621</v>
      </c>
      <c r="E55" s="746" t="s">
        <v>621</v>
      </c>
      <c r="F55" s="746" t="s">
        <v>621</v>
      </c>
      <c r="G55" s="746" t="s">
        <v>621</v>
      </c>
      <c r="H55" s="746" t="s">
        <v>621</v>
      </c>
      <c r="I55" s="746" t="s">
        <v>621</v>
      </c>
      <c r="J55" s="746" t="s">
        <v>621</v>
      </c>
      <c r="K55" s="746" t="s">
        <v>621</v>
      </c>
      <c r="L55" s="746" t="s">
        <v>621</v>
      </c>
      <c r="M55" s="746" t="s">
        <v>621</v>
      </c>
      <c r="N55" s="746" t="s">
        <v>621</v>
      </c>
      <c r="O55" s="746" t="s">
        <v>621</v>
      </c>
      <c r="P55" s="746" t="s">
        <v>621</v>
      </c>
      <c r="Q55" s="746" t="s">
        <v>621</v>
      </c>
      <c r="R55" s="746" t="s">
        <v>621</v>
      </c>
      <c r="S55" s="746" t="s">
        <v>621</v>
      </c>
      <c r="T55" s="746">
        <f>T56</f>
        <v>2824</v>
      </c>
      <c r="U55" s="746" t="s">
        <v>621</v>
      </c>
      <c r="V55" s="746" t="s">
        <v>621</v>
      </c>
      <c r="W55" s="746" t="s">
        <v>621</v>
      </c>
      <c r="X55" s="746" t="s">
        <v>621</v>
      </c>
      <c r="Y55" s="746" t="s">
        <v>621</v>
      </c>
      <c r="Z55" s="746" t="s">
        <v>621</v>
      </c>
      <c r="AA55" s="746" t="s">
        <v>621</v>
      </c>
      <c r="AB55" s="746" t="s">
        <v>621</v>
      </c>
      <c r="AC55" s="746" t="s">
        <v>621</v>
      </c>
      <c r="AD55" s="746" t="s">
        <v>621</v>
      </c>
      <c r="AE55" s="746" t="s">
        <v>621</v>
      </c>
      <c r="AF55" s="746" t="s">
        <v>621</v>
      </c>
      <c r="AG55" s="746" t="s">
        <v>621</v>
      </c>
      <c r="AH55" s="746" t="s">
        <v>621</v>
      </c>
      <c r="AI55" s="746" t="s">
        <v>621</v>
      </c>
      <c r="AJ55" s="746" t="s">
        <v>621</v>
      </c>
      <c r="AK55" s="746" t="s">
        <v>621</v>
      </c>
      <c r="AL55" s="746" t="s">
        <v>621</v>
      </c>
      <c r="AM55" s="746" t="s">
        <v>621</v>
      </c>
      <c r="AN55" s="746" t="s">
        <v>621</v>
      </c>
      <c r="AO55" s="746" t="s">
        <v>621</v>
      </c>
      <c r="AP55" s="746" t="s">
        <v>621</v>
      </c>
      <c r="AQ55" s="746" t="s">
        <v>621</v>
      </c>
      <c r="AR55" s="746" t="s">
        <v>621</v>
      </c>
      <c r="AS55" s="746" t="s">
        <v>621</v>
      </c>
    </row>
    <row r="56" spans="1:45" s="236" customFormat="1" ht="123" x14ac:dyDescent="0.45">
      <c r="A56" s="316" t="s">
        <v>599</v>
      </c>
      <c r="B56" s="426" t="s">
        <v>740</v>
      </c>
      <c r="C56" s="433" t="str">
        <f t="shared" ref="C56:C64" si="0">CONCATENATE("J","_",2024,"_",A56)</f>
        <v>J_2024_1.2.3.1</v>
      </c>
      <c r="D56" s="433" t="s">
        <v>621</v>
      </c>
      <c r="E56" s="433" t="s">
        <v>621</v>
      </c>
      <c r="F56" s="433" t="s">
        <v>621</v>
      </c>
      <c r="G56" s="433" t="s">
        <v>621</v>
      </c>
      <c r="H56" s="433" t="s">
        <v>621</v>
      </c>
      <c r="I56" s="433" t="s">
        <v>621</v>
      </c>
      <c r="J56" s="433" t="s">
        <v>621</v>
      </c>
      <c r="K56" s="433" t="s">
        <v>621</v>
      </c>
      <c r="L56" s="433" t="s">
        <v>621</v>
      </c>
      <c r="M56" s="433" t="s">
        <v>621</v>
      </c>
      <c r="N56" s="433" t="s">
        <v>621</v>
      </c>
      <c r="O56" s="433" t="s">
        <v>621</v>
      </c>
      <c r="P56" s="433" t="s">
        <v>621</v>
      </c>
      <c r="Q56" s="433" t="s">
        <v>621</v>
      </c>
      <c r="R56" s="433" t="s">
        <v>621</v>
      </c>
      <c r="S56" s="433" t="s">
        <v>621</v>
      </c>
      <c r="T56" s="433">
        <v>2824</v>
      </c>
      <c r="U56" s="433" t="s">
        <v>621</v>
      </c>
      <c r="V56" s="433" t="s">
        <v>621</v>
      </c>
      <c r="W56" s="433" t="s">
        <v>621</v>
      </c>
      <c r="X56" s="433" t="s">
        <v>621</v>
      </c>
      <c r="Y56" s="433" t="s">
        <v>621</v>
      </c>
      <c r="Z56" s="433" t="s">
        <v>621</v>
      </c>
      <c r="AA56" s="433" t="s">
        <v>621</v>
      </c>
      <c r="AB56" s="433" t="s">
        <v>621</v>
      </c>
      <c r="AC56" s="433" t="s">
        <v>621</v>
      </c>
      <c r="AD56" s="433" t="s">
        <v>621</v>
      </c>
      <c r="AE56" s="433" t="s">
        <v>621</v>
      </c>
      <c r="AF56" s="433" t="s">
        <v>621</v>
      </c>
      <c r="AG56" s="433" t="s">
        <v>621</v>
      </c>
      <c r="AH56" s="433" t="s">
        <v>621</v>
      </c>
      <c r="AI56" s="433" t="s">
        <v>621</v>
      </c>
      <c r="AJ56" s="433" t="s">
        <v>621</v>
      </c>
      <c r="AK56" s="433" t="s">
        <v>621</v>
      </c>
      <c r="AL56" s="433" t="s">
        <v>621</v>
      </c>
      <c r="AM56" s="433" t="s">
        <v>621</v>
      </c>
      <c r="AN56" s="433" t="s">
        <v>621</v>
      </c>
      <c r="AO56" s="433" t="s">
        <v>621</v>
      </c>
      <c r="AP56" s="433" t="s">
        <v>621</v>
      </c>
      <c r="AQ56" s="433" t="s">
        <v>621</v>
      </c>
      <c r="AR56" s="433" t="s">
        <v>621</v>
      </c>
      <c r="AS56" s="433" t="s">
        <v>621</v>
      </c>
    </row>
    <row r="57" spans="1:45" s="236" customFormat="1" ht="123" hidden="1" x14ac:dyDescent="0.45">
      <c r="A57" s="316" t="s">
        <v>600</v>
      </c>
      <c r="B57" s="426" t="s">
        <v>698</v>
      </c>
      <c r="C57" s="433" t="str">
        <f t="shared" si="0"/>
        <v>J_2024_1.2.3.2</v>
      </c>
      <c r="D57" s="433"/>
      <c r="E57" s="433"/>
      <c r="F57" s="433"/>
      <c r="G57" s="433"/>
      <c r="H57" s="433"/>
      <c r="I57" s="433"/>
      <c r="J57" s="433"/>
      <c r="K57" s="433"/>
      <c r="L57" s="433"/>
      <c r="M57" s="433"/>
      <c r="N57" s="433"/>
      <c r="O57" s="433"/>
      <c r="P57" s="433"/>
      <c r="Q57" s="433"/>
      <c r="R57" s="433"/>
      <c r="S57" s="433"/>
      <c r="T57" s="433">
        <v>2824</v>
      </c>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row>
    <row r="58" spans="1:45" s="236" customFormat="1" ht="123" hidden="1" x14ac:dyDescent="0.45">
      <c r="A58" s="316" t="s">
        <v>601</v>
      </c>
      <c r="B58" s="426" t="s">
        <v>699</v>
      </c>
      <c r="C58" s="433" t="str">
        <f t="shared" si="0"/>
        <v>J_2024_1.2.3.3</v>
      </c>
      <c r="D58" s="433"/>
      <c r="E58" s="433"/>
      <c r="F58" s="433"/>
      <c r="G58" s="433"/>
      <c r="H58" s="433"/>
      <c r="I58" s="433"/>
      <c r="J58" s="433"/>
      <c r="K58" s="433"/>
      <c r="L58" s="433"/>
      <c r="M58" s="433"/>
      <c r="N58" s="433"/>
      <c r="O58" s="433"/>
      <c r="P58" s="433"/>
      <c r="Q58" s="433"/>
      <c r="R58" s="433"/>
      <c r="S58" s="433"/>
      <c r="T58" s="433">
        <v>2824</v>
      </c>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row>
    <row r="59" spans="1:45" s="236" customFormat="1" ht="123" hidden="1" x14ac:dyDescent="0.45">
      <c r="A59" s="316" t="s">
        <v>602</v>
      </c>
      <c r="B59" s="426" t="s">
        <v>700</v>
      </c>
      <c r="C59" s="433" t="str">
        <f t="shared" si="0"/>
        <v>J_2024_1.2.3.4</v>
      </c>
      <c r="D59" s="433"/>
      <c r="E59" s="433"/>
      <c r="F59" s="433"/>
      <c r="G59" s="433"/>
      <c r="H59" s="433"/>
      <c r="I59" s="433"/>
      <c r="J59" s="433"/>
      <c r="K59" s="433"/>
      <c r="L59" s="433"/>
      <c r="M59" s="433"/>
      <c r="N59" s="433"/>
      <c r="O59" s="433"/>
      <c r="P59" s="433"/>
      <c r="Q59" s="433"/>
      <c r="R59" s="433"/>
      <c r="S59" s="433"/>
      <c r="T59" s="433">
        <v>2824</v>
      </c>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row>
    <row r="60" spans="1:45" s="236" customFormat="1" ht="153.75" hidden="1" x14ac:dyDescent="0.45">
      <c r="A60" s="316" t="s">
        <v>718</v>
      </c>
      <c r="B60" s="426" t="s">
        <v>701</v>
      </c>
      <c r="C60" s="433" t="str">
        <f t="shared" si="0"/>
        <v>J_2024_1.2.3.5</v>
      </c>
      <c r="D60" s="433"/>
      <c r="E60" s="433"/>
      <c r="F60" s="433"/>
      <c r="G60" s="433"/>
      <c r="H60" s="433"/>
      <c r="I60" s="433"/>
      <c r="J60" s="433"/>
      <c r="K60" s="433"/>
      <c r="L60" s="433"/>
      <c r="M60" s="433"/>
      <c r="N60" s="433"/>
      <c r="O60" s="433"/>
      <c r="P60" s="433"/>
      <c r="Q60" s="433"/>
      <c r="R60" s="433"/>
      <c r="S60" s="433"/>
      <c r="T60" s="433">
        <v>2824</v>
      </c>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row>
    <row r="61" spans="1:45" s="236" customFormat="1" ht="153.75" hidden="1" x14ac:dyDescent="0.45">
      <c r="A61" s="316" t="s">
        <v>719</v>
      </c>
      <c r="B61" s="426" t="s">
        <v>702</v>
      </c>
      <c r="C61" s="433" t="str">
        <f t="shared" si="0"/>
        <v>J_2024_1.2.3.6</v>
      </c>
      <c r="D61" s="433"/>
      <c r="E61" s="433"/>
      <c r="F61" s="433"/>
      <c r="G61" s="433"/>
      <c r="H61" s="433"/>
      <c r="I61" s="433"/>
      <c r="J61" s="433"/>
      <c r="K61" s="433"/>
      <c r="L61" s="433"/>
      <c r="M61" s="433"/>
      <c r="N61" s="433"/>
      <c r="O61" s="433"/>
      <c r="P61" s="433"/>
      <c r="Q61" s="433"/>
      <c r="R61" s="433"/>
      <c r="S61" s="433"/>
      <c r="T61" s="433">
        <v>2824</v>
      </c>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row>
    <row r="62" spans="1:45" s="236" customFormat="1" ht="153.75" hidden="1" x14ac:dyDescent="0.45">
      <c r="A62" s="316" t="s">
        <v>720</v>
      </c>
      <c r="B62" s="426" t="s">
        <v>703</v>
      </c>
      <c r="C62" s="433" t="str">
        <f t="shared" si="0"/>
        <v>J_2024_1.2.3.7</v>
      </c>
      <c r="D62" s="433"/>
      <c r="E62" s="433"/>
      <c r="F62" s="433"/>
      <c r="G62" s="433"/>
      <c r="H62" s="433"/>
      <c r="I62" s="433"/>
      <c r="J62" s="433"/>
      <c r="K62" s="433"/>
      <c r="L62" s="433"/>
      <c r="M62" s="433"/>
      <c r="N62" s="433"/>
      <c r="O62" s="433"/>
      <c r="P62" s="433"/>
      <c r="Q62" s="433"/>
      <c r="R62" s="433"/>
      <c r="S62" s="433"/>
      <c r="T62" s="433">
        <v>2824</v>
      </c>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row>
    <row r="63" spans="1:45" s="236" customFormat="1" ht="184.5" hidden="1" x14ac:dyDescent="0.45">
      <c r="A63" s="316" t="s">
        <v>721</v>
      </c>
      <c r="B63" s="426" t="s">
        <v>704</v>
      </c>
      <c r="C63" s="433" t="str">
        <f t="shared" si="0"/>
        <v>J_2024_1.2.3.8</v>
      </c>
      <c r="D63" s="433"/>
      <c r="E63" s="433"/>
      <c r="F63" s="433"/>
      <c r="G63" s="433"/>
      <c r="H63" s="433"/>
      <c r="I63" s="433"/>
      <c r="J63" s="433"/>
      <c r="K63" s="433"/>
      <c r="L63" s="433"/>
      <c r="M63" s="433"/>
      <c r="N63" s="433"/>
      <c r="O63" s="433"/>
      <c r="P63" s="433"/>
      <c r="Q63" s="433"/>
      <c r="R63" s="433"/>
      <c r="S63" s="433"/>
      <c r="T63" s="433">
        <v>2824</v>
      </c>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row>
    <row r="64" spans="1:45" s="236" customFormat="1" ht="83.25" x14ac:dyDescent="0.45">
      <c r="A64" s="551" t="s">
        <v>947</v>
      </c>
      <c r="B64" s="552" t="s">
        <v>948</v>
      </c>
      <c r="C64" s="433" t="str">
        <f t="shared" si="0"/>
        <v>J_2024_1.2.3.1.1</v>
      </c>
      <c r="D64" s="433" t="s">
        <v>621</v>
      </c>
      <c r="E64" s="433" t="s">
        <v>621</v>
      </c>
      <c r="F64" s="433" t="s">
        <v>621</v>
      </c>
      <c r="G64" s="433" t="s">
        <v>621</v>
      </c>
      <c r="H64" s="433" t="s">
        <v>621</v>
      </c>
      <c r="I64" s="433" t="s">
        <v>621</v>
      </c>
      <c r="J64" s="433" t="s">
        <v>621</v>
      </c>
      <c r="K64" s="433" t="s">
        <v>621</v>
      </c>
      <c r="L64" s="433" t="s">
        <v>621</v>
      </c>
      <c r="M64" s="433" t="s">
        <v>621</v>
      </c>
      <c r="N64" s="433" t="s">
        <v>621</v>
      </c>
      <c r="O64" s="433" t="s">
        <v>621</v>
      </c>
      <c r="P64" s="433" t="s">
        <v>621</v>
      </c>
      <c r="Q64" s="433" t="s">
        <v>621</v>
      </c>
      <c r="R64" s="433" t="s">
        <v>621</v>
      </c>
      <c r="S64" s="433" t="s">
        <v>621</v>
      </c>
      <c r="T64" s="433">
        <v>2824</v>
      </c>
      <c r="U64" s="433"/>
      <c r="V64" s="433" t="s">
        <v>621</v>
      </c>
      <c r="W64" s="433" t="s">
        <v>621</v>
      </c>
      <c r="X64" s="433" t="s">
        <v>621</v>
      </c>
      <c r="Y64" s="433" t="s">
        <v>621</v>
      </c>
      <c r="Z64" s="433" t="s">
        <v>621</v>
      </c>
      <c r="AA64" s="433" t="s">
        <v>621</v>
      </c>
      <c r="AB64" s="433" t="s">
        <v>621</v>
      </c>
      <c r="AC64" s="433" t="s">
        <v>621</v>
      </c>
      <c r="AD64" s="433" t="s">
        <v>621</v>
      </c>
      <c r="AE64" s="433" t="s">
        <v>621</v>
      </c>
      <c r="AF64" s="433" t="s">
        <v>621</v>
      </c>
      <c r="AG64" s="433" t="s">
        <v>621</v>
      </c>
      <c r="AH64" s="433" t="s">
        <v>621</v>
      </c>
      <c r="AI64" s="433" t="s">
        <v>621</v>
      </c>
      <c r="AJ64" s="433" t="s">
        <v>621</v>
      </c>
      <c r="AK64" s="433" t="s">
        <v>621</v>
      </c>
      <c r="AL64" s="433" t="s">
        <v>621</v>
      </c>
      <c r="AM64" s="433" t="s">
        <v>621</v>
      </c>
      <c r="AN64" s="433" t="s">
        <v>621</v>
      </c>
      <c r="AO64" s="433" t="s">
        <v>621</v>
      </c>
      <c r="AP64" s="433" t="s">
        <v>621</v>
      </c>
      <c r="AQ64" s="433" t="s">
        <v>621</v>
      </c>
      <c r="AR64" s="433" t="s">
        <v>621</v>
      </c>
      <c r="AS64" s="433" t="s">
        <v>621</v>
      </c>
    </row>
    <row r="65" spans="1:45" s="236" customFormat="1" ht="111" customHeight="1" x14ac:dyDescent="0.45">
      <c r="A65" s="308" t="s">
        <v>547</v>
      </c>
      <c r="B65" s="441" t="s">
        <v>705</v>
      </c>
      <c r="C65" s="305" t="s">
        <v>621</v>
      </c>
      <c r="D65" s="305" t="s">
        <v>621</v>
      </c>
      <c r="E65" s="305" t="s">
        <v>621</v>
      </c>
      <c r="F65" s="305" t="s">
        <v>621</v>
      </c>
      <c r="G65" s="305" t="s">
        <v>621</v>
      </c>
      <c r="H65" s="305" t="s">
        <v>621</v>
      </c>
      <c r="I65" s="305" t="s">
        <v>621</v>
      </c>
      <c r="J65" s="305" t="s">
        <v>621</v>
      </c>
      <c r="K65" s="305" t="s">
        <v>621</v>
      </c>
      <c r="L65" s="305">
        <f>L67</f>
        <v>36</v>
      </c>
      <c r="M65" s="305" t="s">
        <v>621</v>
      </c>
      <c r="N65" s="305" t="s">
        <v>621</v>
      </c>
      <c r="O65" s="305" t="s">
        <v>621</v>
      </c>
      <c r="P65" s="305" t="s">
        <v>621</v>
      </c>
      <c r="Q65" s="305" t="s">
        <v>621</v>
      </c>
      <c r="R65" s="305" t="s">
        <v>621</v>
      </c>
      <c r="S65" s="305" t="s">
        <v>621</v>
      </c>
      <c r="T65" s="305" t="s">
        <v>621</v>
      </c>
      <c r="U65" s="305" t="s">
        <v>621</v>
      </c>
      <c r="V65" s="305" t="s">
        <v>621</v>
      </c>
      <c r="W65" s="305" t="s">
        <v>621</v>
      </c>
      <c r="X65" s="305" t="s">
        <v>621</v>
      </c>
      <c r="Y65" s="305" t="s">
        <v>621</v>
      </c>
      <c r="Z65" s="305" t="s">
        <v>621</v>
      </c>
      <c r="AA65" s="305" t="s">
        <v>621</v>
      </c>
      <c r="AB65" s="305" t="s">
        <v>621</v>
      </c>
      <c r="AC65" s="305" t="s">
        <v>621</v>
      </c>
      <c r="AD65" s="305" t="s">
        <v>621</v>
      </c>
      <c r="AE65" s="305" t="s">
        <v>621</v>
      </c>
      <c r="AF65" s="305" t="s">
        <v>621</v>
      </c>
      <c r="AG65" s="305" t="s">
        <v>621</v>
      </c>
      <c r="AH65" s="305" t="s">
        <v>621</v>
      </c>
      <c r="AI65" s="305" t="s">
        <v>621</v>
      </c>
      <c r="AJ65" s="305" t="s">
        <v>621</v>
      </c>
      <c r="AK65" s="305" t="s">
        <v>621</v>
      </c>
      <c r="AL65" s="305" t="s">
        <v>621</v>
      </c>
      <c r="AM65" s="305" t="s">
        <v>621</v>
      </c>
      <c r="AN65" s="305" t="s">
        <v>621</v>
      </c>
      <c r="AO65" s="305" t="s">
        <v>621</v>
      </c>
      <c r="AP65" s="305" t="s">
        <v>621</v>
      </c>
      <c r="AQ65" s="305" t="s">
        <v>621</v>
      </c>
      <c r="AR65" s="305" t="s">
        <v>621</v>
      </c>
      <c r="AS65" s="305" t="s">
        <v>621</v>
      </c>
    </row>
    <row r="66" spans="1:45" s="236" customFormat="1" ht="123" hidden="1" x14ac:dyDescent="0.45">
      <c r="A66" s="308" t="s">
        <v>603</v>
      </c>
      <c r="B66" s="441" t="s">
        <v>706</v>
      </c>
      <c r="C66" s="305" t="s">
        <v>621</v>
      </c>
      <c r="D66" s="305" t="s">
        <v>621</v>
      </c>
      <c r="E66" s="305" t="s">
        <v>621</v>
      </c>
      <c r="F66" s="305" t="s">
        <v>621</v>
      </c>
      <c r="G66" s="305" t="s">
        <v>621</v>
      </c>
      <c r="H66" s="305" t="s">
        <v>621</v>
      </c>
      <c r="I66" s="305" t="s">
        <v>621</v>
      </c>
      <c r="J66" s="305" t="s">
        <v>621</v>
      </c>
      <c r="K66" s="305" t="s">
        <v>621</v>
      </c>
      <c r="L66" s="305"/>
      <c r="M66" s="305" t="s">
        <v>621</v>
      </c>
      <c r="N66" s="305" t="s">
        <v>621</v>
      </c>
      <c r="O66" s="305" t="s">
        <v>621</v>
      </c>
      <c r="P66" s="305" t="s">
        <v>621</v>
      </c>
      <c r="Q66" s="305" t="s">
        <v>621</v>
      </c>
      <c r="R66" s="305" t="s">
        <v>621</v>
      </c>
      <c r="S66" s="305" t="s">
        <v>621</v>
      </c>
      <c r="T66" s="305" t="s">
        <v>621</v>
      </c>
      <c r="U66" s="305" t="s">
        <v>621</v>
      </c>
      <c r="V66" s="305" t="s">
        <v>621</v>
      </c>
      <c r="W66" s="305" t="s">
        <v>621</v>
      </c>
      <c r="X66" s="305" t="s">
        <v>621</v>
      </c>
      <c r="Y66" s="305" t="s">
        <v>621</v>
      </c>
      <c r="Z66" s="305" t="s">
        <v>621</v>
      </c>
      <c r="AA66" s="305" t="s">
        <v>621</v>
      </c>
      <c r="AB66" s="305" t="s">
        <v>621</v>
      </c>
      <c r="AC66" s="305" t="s">
        <v>621</v>
      </c>
      <c r="AD66" s="305" t="s">
        <v>621</v>
      </c>
      <c r="AE66" s="305" t="s">
        <v>621</v>
      </c>
      <c r="AF66" s="305" t="s">
        <v>621</v>
      </c>
      <c r="AG66" s="305" t="s">
        <v>621</v>
      </c>
      <c r="AH66" s="305" t="s">
        <v>621</v>
      </c>
      <c r="AI66" s="305" t="s">
        <v>621</v>
      </c>
      <c r="AJ66" s="305" t="s">
        <v>621</v>
      </c>
      <c r="AK66" s="305" t="s">
        <v>621</v>
      </c>
      <c r="AL66" s="305" t="s">
        <v>621</v>
      </c>
      <c r="AM66" s="305" t="s">
        <v>621</v>
      </c>
      <c r="AN66" s="305" t="s">
        <v>621</v>
      </c>
      <c r="AO66" s="305" t="s">
        <v>621</v>
      </c>
      <c r="AP66" s="305" t="s">
        <v>621</v>
      </c>
      <c r="AQ66" s="305" t="s">
        <v>621</v>
      </c>
      <c r="AR66" s="305" t="s">
        <v>621</v>
      </c>
      <c r="AS66" s="305" t="s">
        <v>621</v>
      </c>
    </row>
    <row r="67" spans="1:45" s="236" customFormat="1" ht="184.5" x14ac:dyDescent="0.45">
      <c r="A67" s="308" t="s">
        <v>604</v>
      </c>
      <c r="B67" s="441" t="s">
        <v>707</v>
      </c>
      <c r="C67" s="305" t="s">
        <v>621</v>
      </c>
      <c r="D67" s="305" t="s">
        <v>621</v>
      </c>
      <c r="E67" s="305" t="s">
        <v>621</v>
      </c>
      <c r="F67" s="305" t="s">
        <v>621</v>
      </c>
      <c r="G67" s="305" t="s">
        <v>621</v>
      </c>
      <c r="H67" s="305" t="s">
        <v>621</v>
      </c>
      <c r="I67" s="305" t="s">
        <v>621</v>
      </c>
      <c r="J67" s="305" t="s">
        <v>621</v>
      </c>
      <c r="K67" s="305" t="s">
        <v>621</v>
      </c>
      <c r="L67" s="305">
        <f>L68+L75</f>
        <v>36</v>
      </c>
      <c r="M67" s="305" t="s">
        <v>621</v>
      </c>
      <c r="N67" s="305" t="s">
        <v>621</v>
      </c>
      <c r="O67" s="305" t="s">
        <v>621</v>
      </c>
      <c r="P67" s="305" t="s">
        <v>621</v>
      </c>
      <c r="Q67" s="305" t="s">
        <v>621</v>
      </c>
      <c r="R67" s="305" t="s">
        <v>621</v>
      </c>
      <c r="S67" s="305" t="s">
        <v>621</v>
      </c>
      <c r="T67" s="305" t="s">
        <v>621</v>
      </c>
      <c r="U67" s="305" t="s">
        <v>621</v>
      </c>
      <c r="V67" s="305" t="s">
        <v>621</v>
      </c>
      <c r="W67" s="305" t="s">
        <v>621</v>
      </c>
      <c r="X67" s="305" t="s">
        <v>621</v>
      </c>
      <c r="Y67" s="305" t="s">
        <v>621</v>
      </c>
      <c r="Z67" s="305" t="s">
        <v>621</v>
      </c>
      <c r="AA67" s="305" t="s">
        <v>621</v>
      </c>
      <c r="AB67" s="305" t="s">
        <v>621</v>
      </c>
      <c r="AC67" s="305" t="s">
        <v>621</v>
      </c>
      <c r="AD67" s="305" t="s">
        <v>621</v>
      </c>
      <c r="AE67" s="305" t="s">
        <v>621</v>
      </c>
      <c r="AF67" s="305" t="s">
        <v>621</v>
      </c>
      <c r="AG67" s="305" t="s">
        <v>621</v>
      </c>
      <c r="AH67" s="305" t="s">
        <v>621</v>
      </c>
      <c r="AI67" s="305" t="s">
        <v>621</v>
      </c>
      <c r="AJ67" s="305" t="s">
        <v>621</v>
      </c>
      <c r="AK67" s="305" t="s">
        <v>621</v>
      </c>
      <c r="AL67" s="305" t="s">
        <v>621</v>
      </c>
      <c r="AM67" s="305" t="s">
        <v>621</v>
      </c>
      <c r="AN67" s="305" t="s">
        <v>621</v>
      </c>
      <c r="AO67" s="305" t="s">
        <v>621</v>
      </c>
      <c r="AP67" s="305" t="s">
        <v>621</v>
      </c>
      <c r="AQ67" s="305" t="s">
        <v>621</v>
      </c>
      <c r="AR67" s="305" t="s">
        <v>621</v>
      </c>
      <c r="AS67" s="305" t="s">
        <v>621</v>
      </c>
    </row>
    <row r="68" spans="1:45" s="483" customFormat="1" ht="92.25" x14ac:dyDescent="0.45">
      <c r="A68" s="480" t="s">
        <v>900</v>
      </c>
      <c r="B68" s="481" t="s">
        <v>902</v>
      </c>
      <c r="C68" s="482" t="str">
        <f t="shared" ref="C68:C75" si="1">CONCATENATE("J","_",2024,"_",A68)</f>
        <v>J_2024_1.2.4.2.16</v>
      </c>
      <c r="D68" s="482" t="s">
        <v>621</v>
      </c>
      <c r="E68" s="482" t="s">
        <v>621</v>
      </c>
      <c r="F68" s="482" t="s">
        <v>621</v>
      </c>
      <c r="G68" s="482" t="s">
        <v>621</v>
      </c>
      <c r="H68" s="482" t="s">
        <v>621</v>
      </c>
      <c r="I68" s="482" t="s">
        <v>621</v>
      </c>
      <c r="J68" s="482" t="s">
        <v>621</v>
      </c>
      <c r="K68" s="482" t="s">
        <v>621</v>
      </c>
      <c r="L68" s="482">
        <v>23</v>
      </c>
      <c r="M68" s="482" t="s">
        <v>621</v>
      </c>
      <c r="N68" s="482" t="s">
        <v>621</v>
      </c>
      <c r="O68" s="482" t="s">
        <v>621</v>
      </c>
      <c r="P68" s="482" t="s">
        <v>621</v>
      </c>
      <c r="Q68" s="482" t="s">
        <v>621</v>
      </c>
      <c r="R68" s="482" t="s">
        <v>621</v>
      </c>
      <c r="S68" s="482" t="s">
        <v>621</v>
      </c>
      <c r="T68" s="482" t="s">
        <v>621</v>
      </c>
      <c r="U68" s="482" t="s">
        <v>621</v>
      </c>
      <c r="V68" s="482" t="s">
        <v>621</v>
      </c>
      <c r="W68" s="482" t="s">
        <v>621</v>
      </c>
      <c r="X68" s="482" t="s">
        <v>621</v>
      </c>
      <c r="Y68" s="482" t="s">
        <v>621</v>
      </c>
      <c r="Z68" s="482" t="s">
        <v>621</v>
      </c>
      <c r="AA68" s="482" t="s">
        <v>621</v>
      </c>
      <c r="AB68" s="482" t="s">
        <v>621</v>
      </c>
      <c r="AC68" s="482" t="s">
        <v>621</v>
      </c>
      <c r="AD68" s="482" t="s">
        <v>621</v>
      </c>
      <c r="AE68" s="482" t="s">
        <v>621</v>
      </c>
      <c r="AF68" s="482" t="s">
        <v>621</v>
      </c>
      <c r="AG68" s="482" t="s">
        <v>621</v>
      </c>
      <c r="AH68" s="482" t="s">
        <v>621</v>
      </c>
      <c r="AI68" s="482" t="s">
        <v>621</v>
      </c>
      <c r="AJ68" s="482" t="s">
        <v>621</v>
      </c>
      <c r="AK68" s="482" t="s">
        <v>621</v>
      </c>
      <c r="AL68" s="482" t="s">
        <v>621</v>
      </c>
      <c r="AM68" s="482" t="s">
        <v>621</v>
      </c>
      <c r="AN68" s="482" t="s">
        <v>621</v>
      </c>
      <c r="AO68" s="482" t="s">
        <v>621</v>
      </c>
      <c r="AP68" s="482" t="s">
        <v>621</v>
      </c>
      <c r="AQ68" s="482" t="s">
        <v>621</v>
      </c>
      <c r="AR68" s="482" t="s">
        <v>621</v>
      </c>
      <c r="AS68" s="482" t="s">
        <v>621</v>
      </c>
    </row>
    <row r="69" spans="1:45" s="483" customFormat="1" ht="215.25" hidden="1" x14ac:dyDescent="0.45">
      <c r="A69" s="480" t="s">
        <v>919</v>
      </c>
      <c r="B69" s="481" t="s">
        <v>708</v>
      </c>
      <c r="C69" s="482" t="str">
        <f t="shared" si="1"/>
        <v>J_2024_1.2.4.2.17</v>
      </c>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row>
    <row r="70" spans="1:45" s="483" customFormat="1" ht="215.25" hidden="1" x14ac:dyDescent="0.45">
      <c r="A70" s="480" t="s">
        <v>920</v>
      </c>
      <c r="B70" s="481" t="s">
        <v>709</v>
      </c>
      <c r="C70" s="482" t="str">
        <f t="shared" si="1"/>
        <v>J_2024_1.2.4.2.18</v>
      </c>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row>
    <row r="71" spans="1:45" s="483" customFormat="1" ht="215.25" hidden="1" x14ac:dyDescent="0.45">
      <c r="A71" s="480" t="s">
        <v>921</v>
      </c>
      <c r="B71" s="481" t="s">
        <v>710</v>
      </c>
      <c r="C71" s="482" t="str">
        <f t="shared" si="1"/>
        <v>J_2024_1.2.4.2.19</v>
      </c>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row>
    <row r="72" spans="1:45" s="483" customFormat="1" ht="120" hidden="1" x14ac:dyDescent="0.45">
      <c r="A72" s="480" t="s">
        <v>918</v>
      </c>
      <c r="B72" s="484" t="s">
        <v>688</v>
      </c>
      <c r="C72" s="482" t="str">
        <f t="shared" si="1"/>
        <v>J_2024_1.2.4.2.20</v>
      </c>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row>
    <row r="73" spans="1:45" s="483" customFormat="1" ht="150" hidden="1" x14ac:dyDescent="0.45">
      <c r="A73" s="480" t="s">
        <v>922</v>
      </c>
      <c r="B73" s="484" t="s">
        <v>689</v>
      </c>
      <c r="C73" s="482" t="str">
        <f t="shared" si="1"/>
        <v>J_2024_1.2.4.2.21</v>
      </c>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2"/>
      <c r="AS73" s="482"/>
    </row>
    <row r="74" spans="1:45" s="483" customFormat="1" ht="169.5" hidden="1" customHeight="1" x14ac:dyDescent="0.45">
      <c r="A74" s="480" t="s">
        <v>923</v>
      </c>
      <c r="B74" s="485" t="s">
        <v>690</v>
      </c>
      <c r="C74" s="482" t="str">
        <f t="shared" si="1"/>
        <v>J_2024_1.2.4.2.22</v>
      </c>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row>
    <row r="75" spans="1:45" s="483" customFormat="1" ht="92.25" x14ac:dyDescent="0.45">
      <c r="A75" s="480" t="s">
        <v>924</v>
      </c>
      <c r="B75" s="481" t="s">
        <v>917</v>
      </c>
      <c r="C75" s="482" t="str">
        <f t="shared" si="1"/>
        <v>J_2024_1.2.4.2.23</v>
      </c>
      <c r="D75" s="482" t="s">
        <v>621</v>
      </c>
      <c r="E75" s="482" t="s">
        <v>621</v>
      </c>
      <c r="F75" s="482" t="s">
        <v>621</v>
      </c>
      <c r="G75" s="482" t="s">
        <v>621</v>
      </c>
      <c r="H75" s="482" t="s">
        <v>621</v>
      </c>
      <c r="I75" s="482" t="s">
        <v>621</v>
      </c>
      <c r="J75" s="482" t="s">
        <v>621</v>
      </c>
      <c r="K75" s="482" t="s">
        <v>621</v>
      </c>
      <c r="L75" s="482">
        <v>13</v>
      </c>
      <c r="M75" s="482" t="s">
        <v>621</v>
      </c>
      <c r="N75" s="482" t="s">
        <v>621</v>
      </c>
      <c r="O75" s="482" t="s">
        <v>621</v>
      </c>
      <c r="P75" s="482" t="s">
        <v>621</v>
      </c>
      <c r="Q75" s="482" t="s">
        <v>621</v>
      </c>
      <c r="R75" s="482" t="s">
        <v>621</v>
      </c>
      <c r="S75" s="482" t="s">
        <v>621</v>
      </c>
      <c r="T75" s="482" t="s">
        <v>621</v>
      </c>
      <c r="U75" s="482" t="s">
        <v>621</v>
      </c>
      <c r="V75" s="482" t="s">
        <v>621</v>
      </c>
      <c r="W75" s="482" t="s">
        <v>621</v>
      </c>
      <c r="X75" s="482" t="s">
        <v>621</v>
      </c>
      <c r="Y75" s="482" t="s">
        <v>621</v>
      </c>
      <c r="Z75" s="482" t="s">
        <v>621</v>
      </c>
      <c r="AA75" s="482" t="s">
        <v>621</v>
      </c>
      <c r="AB75" s="482" t="s">
        <v>621</v>
      </c>
      <c r="AC75" s="482" t="s">
        <v>621</v>
      </c>
      <c r="AD75" s="482" t="s">
        <v>621</v>
      </c>
      <c r="AE75" s="482" t="s">
        <v>621</v>
      </c>
      <c r="AF75" s="482" t="s">
        <v>621</v>
      </c>
      <c r="AG75" s="482" t="s">
        <v>621</v>
      </c>
      <c r="AH75" s="482" t="s">
        <v>621</v>
      </c>
      <c r="AI75" s="482" t="s">
        <v>621</v>
      </c>
      <c r="AJ75" s="482" t="s">
        <v>621</v>
      </c>
      <c r="AK75" s="482" t="s">
        <v>621</v>
      </c>
      <c r="AL75" s="482" t="s">
        <v>621</v>
      </c>
      <c r="AM75" s="482" t="s">
        <v>621</v>
      </c>
      <c r="AN75" s="482" t="s">
        <v>621</v>
      </c>
      <c r="AO75" s="482" t="s">
        <v>621</v>
      </c>
      <c r="AP75" s="482" t="s">
        <v>621</v>
      </c>
      <c r="AQ75" s="482" t="s">
        <v>621</v>
      </c>
      <c r="AR75" s="482" t="s">
        <v>621</v>
      </c>
      <c r="AS75" s="482" t="s">
        <v>621</v>
      </c>
    </row>
    <row r="79" spans="1:45" ht="37.5" customHeight="1" x14ac:dyDescent="0.35"/>
    <row r="80" spans="1:45" s="238" customFormat="1" ht="81.75" customHeight="1" x14ac:dyDescent="0.5">
      <c r="B80" s="238" t="s">
        <v>1743</v>
      </c>
      <c r="U80" s="238" t="s">
        <v>1652</v>
      </c>
    </row>
  </sheetData>
  <mergeCells count="42">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L17:AM17"/>
    <mergeCell ref="A10:AS10"/>
    <mergeCell ref="A12:AS12"/>
    <mergeCell ref="A13:AS13"/>
    <mergeCell ref="A14:AS14"/>
    <mergeCell ref="A15:A18"/>
    <mergeCell ref="B15:B18"/>
    <mergeCell ref="C15:C18"/>
    <mergeCell ref="D15:AS15"/>
    <mergeCell ref="D16:I16"/>
    <mergeCell ref="J16:O16"/>
    <mergeCell ref="AN16:AS16"/>
    <mergeCell ref="D17:E17"/>
    <mergeCell ref="F17:G17"/>
    <mergeCell ref="H17:I17"/>
    <mergeCell ref="J17:K17"/>
    <mergeCell ref="L17:M17"/>
    <mergeCell ref="A8:AS8"/>
    <mergeCell ref="K2:L2"/>
    <mergeCell ref="M2:N2"/>
    <mergeCell ref="A4:AS4"/>
    <mergeCell ref="A5:AS5"/>
    <mergeCell ref="A7:AS7"/>
  </mergeCells>
  <printOptions horizontalCentered="1"/>
  <pageMargins left="0.19685039370078741" right="0.19685039370078741" top="0.74803149606299213" bottom="0.19685039370078741" header="0.31496062992125984" footer="0.31496062992125984"/>
  <pageSetup paperSize="8" scale="27"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T83"/>
  <sheetViews>
    <sheetView view="pageBreakPreview" topLeftCell="A13" zoomScale="40" zoomScaleNormal="50" zoomScaleSheetLayoutView="40" workbookViewId="0">
      <pane xSplit="2" ySplit="5" topLeftCell="AV18" activePane="bottomRight" state="frozen"/>
      <selection activeCell="A13" sqref="A13"/>
      <selection pane="topRight" activeCell="C13" sqref="C13"/>
      <selection pane="bottomLeft" activeCell="A18" sqref="A18"/>
      <selection pane="bottomRight" activeCell="BS77" sqref="BS77"/>
    </sheetView>
  </sheetViews>
  <sheetFormatPr defaultRowHeight="20.25" x14ac:dyDescent="0.3"/>
  <cols>
    <col min="1" max="1" width="24.625" style="133" customWidth="1"/>
    <col min="2" max="2" width="113.625" style="312" customWidth="1"/>
    <col min="3" max="3" width="49.5" style="312" customWidth="1"/>
    <col min="4" max="4" width="11.875" style="312" customWidth="1"/>
    <col min="5" max="5" width="13.625" style="312" customWidth="1"/>
    <col min="6" max="6" width="12.5" style="312" customWidth="1"/>
    <col min="7" max="7" width="14.25" style="312" customWidth="1"/>
    <col min="8" max="8" width="16.625" style="312" customWidth="1"/>
    <col min="9" max="9" width="21.5" style="312" customWidth="1"/>
    <col min="10" max="10" width="16" style="312" customWidth="1"/>
    <col min="11" max="11" width="18.5" style="312" customWidth="1"/>
    <col min="12" max="12" width="19.625" style="312" customWidth="1"/>
    <col min="13" max="13" width="17.375" style="311" customWidth="1"/>
    <col min="14" max="14" width="14.75" style="311" customWidth="1"/>
    <col min="15" max="15" width="15.875" style="311" customWidth="1"/>
    <col min="16" max="16" width="16.25" style="311" customWidth="1"/>
    <col min="17" max="17" width="15.625" style="311" customWidth="1"/>
    <col min="18" max="18" width="17.125" style="311" customWidth="1"/>
    <col min="19" max="19" width="20.25" style="311" customWidth="1"/>
    <col min="20" max="20" width="18.375" style="311" customWidth="1"/>
    <col min="21" max="21" width="17.5" style="311" customWidth="1"/>
    <col min="22" max="22" width="11.125" style="311" customWidth="1"/>
    <col min="23" max="23" width="9.875" style="311" customWidth="1"/>
    <col min="24" max="24" width="10.875" style="311" customWidth="1"/>
    <col min="25" max="25" width="10.375" style="311" customWidth="1"/>
    <col min="26" max="26" width="10.125" style="311" customWidth="1"/>
    <col min="27" max="27" width="11.375" style="311" customWidth="1"/>
    <col min="28" max="28" width="13.375" style="311" customWidth="1"/>
    <col min="29" max="29" width="8.625" style="311" customWidth="1"/>
    <col min="30" max="30" width="9.875" style="311" customWidth="1"/>
    <col min="31" max="31" width="9.125" style="311" customWidth="1"/>
    <col min="32" max="33" width="13.375" style="311" customWidth="1"/>
    <col min="34" max="34" width="10.875" style="311" customWidth="1"/>
    <col min="35" max="35" width="14.375" style="132" customWidth="1"/>
    <col min="36" max="36" width="8.375" style="132" customWidth="1"/>
    <col min="37" max="38" width="13.375" style="132" customWidth="1"/>
    <col min="39" max="39" width="13.375" style="133" customWidth="1"/>
    <col min="40" max="40" width="14.375" style="133" customWidth="1"/>
    <col min="41" max="41" width="9.125" style="133" customWidth="1"/>
    <col min="42" max="42" width="10.875" style="133" customWidth="1"/>
    <col min="43" max="43" width="13.375" style="133" customWidth="1"/>
    <col min="44" max="44" width="13.625" style="133" customWidth="1"/>
    <col min="45" max="45" width="15.625" style="133" customWidth="1"/>
    <col min="46" max="46" width="10.25" style="133" customWidth="1"/>
    <col min="47" max="47" width="12" style="133" customWidth="1"/>
    <col min="48" max="48" width="13.375" style="133" customWidth="1"/>
    <col min="49" max="49" width="15.875" style="133" customWidth="1"/>
    <col min="50" max="50" width="17.875" style="133" customWidth="1"/>
    <col min="51" max="51" width="8.125" style="133" customWidth="1"/>
    <col min="52" max="52" width="18.5" style="133" customWidth="1"/>
    <col min="53" max="53" width="18.125" style="133" customWidth="1"/>
    <col min="54" max="54" width="18.75" style="133" customWidth="1"/>
    <col min="55" max="55" width="19" style="133" customWidth="1"/>
    <col min="56" max="56" width="9.375" style="133" customWidth="1"/>
    <col min="57" max="57" width="10.875" style="133" customWidth="1"/>
    <col min="58" max="58" width="15.5" style="133" customWidth="1"/>
    <col min="59" max="59" width="13.375" style="133" customWidth="1"/>
    <col min="60" max="60" width="16.5" style="133" customWidth="1"/>
    <col min="61" max="61" width="7.875" style="133" customWidth="1"/>
    <col min="62" max="62" width="20.5" style="133" customWidth="1"/>
    <col min="63" max="63" width="13.375" style="133" customWidth="1"/>
    <col min="64" max="64" width="13.75" style="133" customWidth="1"/>
    <col min="65" max="65" width="20.875" style="133" customWidth="1"/>
    <col min="66" max="66" width="8.125" style="133" customWidth="1"/>
    <col min="67" max="67" width="10.375" style="133" customWidth="1"/>
    <col min="68" max="69" width="13.375" style="133" customWidth="1"/>
    <col min="70" max="70" width="17.875" style="133" customWidth="1"/>
    <col min="71" max="71" width="11.125" style="133" customWidth="1"/>
    <col min="72" max="72" width="13.375" style="133" customWidth="1"/>
    <col min="73" max="73" width="15.625" style="133" customWidth="1"/>
    <col min="74" max="74" width="14.25" style="133" customWidth="1"/>
    <col min="75" max="75" width="16.875" style="133" customWidth="1"/>
    <col min="76" max="76" width="9.875" style="133" customWidth="1"/>
    <col min="77" max="78" width="13.375" style="133" customWidth="1"/>
    <col min="79" max="79" width="13.125" style="133" customWidth="1"/>
    <col min="80" max="80" width="16.625" style="133" customWidth="1"/>
    <col min="81" max="81" width="9.625" style="133" customWidth="1"/>
    <col min="82" max="82" width="11.375" style="133" customWidth="1"/>
    <col min="83" max="83" width="17.25" style="133" customWidth="1"/>
    <col min="84" max="84" width="14.125" style="133" customWidth="1"/>
    <col min="85" max="85" width="19.125" style="133" customWidth="1"/>
    <col min="86" max="88" width="13.375" style="133" customWidth="1"/>
    <col min="89" max="89" width="21.875" style="133" customWidth="1"/>
    <col min="90" max="90" width="20.375" style="133" customWidth="1"/>
    <col min="91" max="91" width="20.75" style="133" customWidth="1"/>
    <col min="92" max="92" width="18.75" style="133" customWidth="1"/>
    <col min="93" max="93" width="20.25" style="133" customWidth="1"/>
    <col min="94" max="94" width="18.125" style="133" customWidth="1"/>
    <col min="95" max="95" width="25.625" style="133" customWidth="1"/>
    <col min="96" max="96" width="9" style="133"/>
    <col min="97" max="97" width="19.625" style="133" customWidth="1"/>
    <col min="98" max="98" width="18.875" style="133" bestFit="1" customWidth="1"/>
    <col min="99" max="101" width="9" style="133"/>
    <col min="102" max="102" width="16.75" style="133" customWidth="1"/>
    <col min="103" max="103" width="16.5" style="133" customWidth="1"/>
    <col min="104" max="16384" width="9" style="133"/>
  </cols>
  <sheetData>
    <row r="1" spans="1:95" x14ac:dyDescent="0.3">
      <c r="A1" s="132"/>
      <c r="B1" s="311"/>
      <c r="C1" s="311"/>
      <c r="D1" s="311"/>
      <c r="E1" s="311"/>
      <c r="F1" s="311"/>
      <c r="G1" s="311"/>
      <c r="H1" s="311"/>
      <c r="I1" s="311"/>
      <c r="J1" s="311"/>
      <c r="K1" s="311"/>
      <c r="L1" s="311"/>
      <c r="AH1" s="138" t="s">
        <v>267</v>
      </c>
      <c r="AM1" s="132"/>
      <c r="AN1" s="132"/>
      <c r="AO1" s="132"/>
    </row>
    <row r="2" spans="1:95" x14ac:dyDescent="0.3">
      <c r="A2" s="132"/>
      <c r="B2" s="311"/>
      <c r="C2" s="311"/>
      <c r="D2" s="311"/>
      <c r="E2" s="311"/>
      <c r="F2" s="311"/>
      <c r="G2" s="311"/>
      <c r="H2" s="311"/>
      <c r="I2" s="311"/>
      <c r="J2" s="311"/>
      <c r="K2" s="311"/>
      <c r="L2" s="311"/>
      <c r="AH2" s="140" t="s">
        <v>1</v>
      </c>
      <c r="AM2" s="132"/>
      <c r="AN2" s="132"/>
      <c r="AO2" s="132"/>
    </row>
    <row r="3" spans="1:95" ht="35.25" x14ac:dyDescent="0.5">
      <c r="A3" s="132"/>
      <c r="B3" s="311"/>
      <c r="C3" s="311"/>
      <c r="D3" s="311"/>
      <c r="E3" s="253"/>
      <c r="F3" s="253"/>
      <c r="G3" s="253"/>
      <c r="H3" s="253"/>
      <c r="I3" s="253"/>
      <c r="J3" s="253"/>
      <c r="K3" s="253"/>
      <c r="L3" s="253"/>
      <c r="M3" s="253"/>
      <c r="N3" s="253"/>
      <c r="O3" s="253"/>
      <c r="P3" s="253"/>
      <c r="Q3" s="253"/>
      <c r="R3" s="253"/>
      <c r="S3" s="253"/>
      <c r="T3" s="253"/>
      <c r="U3" s="253"/>
      <c r="V3" s="253"/>
      <c r="W3" s="253"/>
      <c r="X3" s="253"/>
      <c r="Y3" s="253"/>
      <c r="AH3" s="140" t="s">
        <v>265</v>
      </c>
      <c r="AM3" s="132"/>
      <c r="AN3" s="132"/>
      <c r="AO3" s="132"/>
      <c r="AX3" s="1147" t="s">
        <v>850</v>
      </c>
      <c r="AY3" s="1147"/>
      <c r="AZ3" s="1147"/>
      <c r="BA3" s="1147"/>
      <c r="BB3" s="1147"/>
      <c r="BC3" s="1147"/>
      <c r="BD3" s="1147"/>
      <c r="BE3" s="1147"/>
      <c r="BF3" s="1147"/>
      <c r="BG3" s="1147"/>
      <c r="BH3" s="1147"/>
      <c r="BI3" s="1147"/>
      <c r="BJ3" s="1147"/>
      <c r="BK3" s="1147"/>
      <c r="BL3" s="1147"/>
      <c r="BM3" s="1147"/>
      <c r="BN3" s="1147"/>
      <c r="BO3" s="1147"/>
      <c r="BP3" s="1147"/>
      <c r="BQ3" s="1147"/>
      <c r="BR3" s="1147"/>
      <c r="BS3" s="1147"/>
      <c r="BT3" s="1147"/>
      <c r="BU3" s="1147"/>
      <c r="BV3" s="1147"/>
      <c r="BW3" s="1147"/>
      <c r="BX3" s="1147"/>
      <c r="BY3" s="1147"/>
      <c r="BZ3" s="1147"/>
      <c r="CA3" s="1147"/>
      <c r="CB3" s="1147"/>
      <c r="CC3" s="1147"/>
      <c r="CD3" s="1147"/>
      <c r="CE3" s="1147"/>
    </row>
    <row r="4" spans="1:95" ht="35.25" x14ac:dyDescent="0.5">
      <c r="B4" s="349"/>
      <c r="D4" s="336"/>
      <c r="E4" s="447"/>
      <c r="F4" s="447"/>
      <c r="G4" s="447"/>
      <c r="H4" s="447"/>
      <c r="I4" s="447"/>
      <c r="J4" s="447"/>
      <c r="K4" s="447"/>
      <c r="L4" s="447"/>
      <c r="M4" s="253"/>
      <c r="N4" s="447"/>
      <c r="O4" s="447"/>
      <c r="P4" s="447"/>
      <c r="Q4" s="447" t="s">
        <v>392</v>
      </c>
      <c r="R4" s="447"/>
      <c r="S4" s="447"/>
      <c r="T4" s="447"/>
      <c r="U4" s="447"/>
      <c r="V4" s="447"/>
      <c r="W4" s="447"/>
      <c r="X4" s="447"/>
      <c r="Y4" s="447"/>
      <c r="Z4" s="336"/>
      <c r="AA4" s="336"/>
      <c r="AB4" s="336"/>
      <c r="AC4" s="336"/>
      <c r="AD4" s="336"/>
      <c r="AE4" s="336"/>
      <c r="AF4" s="336"/>
      <c r="AG4" s="336"/>
      <c r="AH4" s="336"/>
      <c r="AM4" s="132"/>
      <c r="AN4" s="132"/>
      <c r="AO4" s="132"/>
    </row>
    <row r="5" spans="1:95" ht="35.25" x14ac:dyDescent="0.5">
      <c r="B5" s="178"/>
      <c r="D5" s="335"/>
      <c r="E5" s="448"/>
      <c r="F5" s="448"/>
      <c r="G5" s="448"/>
      <c r="H5" s="448"/>
      <c r="I5" s="448"/>
      <c r="J5" s="448"/>
      <c r="K5" s="448"/>
      <c r="L5" s="448"/>
      <c r="M5" s="253"/>
      <c r="N5" s="448"/>
      <c r="O5" s="448"/>
      <c r="P5" s="448"/>
      <c r="Q5" s="448"/>
      <c r="R5" s="448"/>
      <c r="S5" s="448"/>
      <c r="T5" s="448"/>
      <c r="U5" s="448"/>
      <c r="V5" s="448"/>
      <c r="W5" s="448"/>
      <c r="X5" s="448"/>
      <c r="Y5" s="448"/>
      <c r="Z5" s="335"/>
      <c r="AA5" s="335"/>
      <c r="AB5" s="335"/>
      <c r="AC5" s="335"/>
      <c r="AD5" s="335"/>
      <c r="AE5" s="335"/>
      <c r="AF5" s="335"/>
      <c r="AG5" s="335"/>
      <c r="AH5" s="335"/>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row>
    <row r="6" spans="1:95" s="129" customFormat="1" ht="52.5" customHeight="1" x14ac:dyDescent="0.5">
      <c r="B6" s="143"/>
      <c r="D6" s="326"/>
      <c r="E6" s="449"/>
      <c r="F6" s="449"/>
      <c r="G6" s="449"/>
      <c r="H6" s="449"/>
      <c r="I6" s="449"/>
      <c r="J6" s="449"/>
      <c r="K6" s="449"/>
      <c r="L6" s="449"/>
      <c r="M6" s="238"/>
      <c r="N6" s="449"/>
      <c r="O6" s="449"/>
      <c r="P6" s="449"/>
      <c r="Q6" s="449" t="s">
        <v>932</v>
      </c>
      <c r="R6" s="449"/>
      <c r="S6" s="449"/>
      <c r="T6" s="449"/>
      <c r="U6" s="449"/>
      <c r="V6" s="449"/>
      <c r="W6" s="449"/>
      <c r="X6" s="449"/>
      <c r="Y6" s="449"/>
      <c r="Z6" s="326"/>
      <c r="AA6" s="326"/>
      <c r="AB6" s="326"/>
      <c r="AC6" s="326"/>
      <c r="AD6" s="326"/>
      <c r="AE6" s="326"/>
      <c r="AF6" s="326"/>
      <c r="AG6" s="326"/>
      <c r="AH6" s="326"/>
      <c r="AI6" s="143"/>
      <c r="AJ6" s="143"/>
      <c r="AK6" s="143"/>
      <c r="AL6" s="143"/>
      <c r="AM6" s="143"/>
      <c r="AN6" s="143"/>
      <c r="AO6" s="143"/>
      <c r="AP6" s="143"/>
      <c r="AQ6" s="143"/>
      <c r="AR6" s="143"/>
      <c r="AS6" s="143"/>
    </row>
    <row r="7" spans="1:95" s="129" customFormat="1" ht="51" customHeight="1" x14ac:dyDescent="0.5">
      <c r="B7" s="164"/>
      <c r="D7" s="327"/>
      <c r="E7" s="450"/>
      <c r="F7" s="450"/>
      <c r="G7" s="450"/>
      <c r="H7" s="450"/>
      <c r="I7" s="450"/>
      <c r="J7" s="450"/>
      <c r="K7" s="450"/>
      <c r="L7" s="450"/>
      <c r="M7" s="238"/>
      <c r="N7" s="450"/>
      <c r="O7" s="450"/>
      <c r="P7" s="450"/>
      <c r="Q7" s="450" t="s">
        <v>313</v>
      </c>
      <c r="R7" s="450"/>
      <c r="S7" s="450"/>
      <c r="T7" s="450"/>
      <c r="U7" s="450"/>
      <c r="V7" s="450"/>
      <c r="W7" s="450"/>
      <c r="X7" s="450"/>
      <c r="Y7" s="450"/>
      <c r="Z7" s="327"/>
      <c r="AA7" s="327"/>
      <c r="AB7" s="327"/>
      <c r="AC7" s="327"/>
      <c r="AD7" s="327"/>
      <c r="AE7" s="327"/>
      <c r="AF7" s="327"/>
      <c r="AG7" s="327"/>
      <c r="AH7" s="327"/>
      <c r="AI7" s="164"/>
      <c r="AJ7" s="164"/>
      <c r="AK7" s="164"/>
      <c r="AL7" s="164"/>
      <c r="AM7" s="164"/>
      <c r="AN7" s="164"/>
      <c r="AO7" s="164"/>
      <c r="AP7" s="164"/>
      <c r="AQ7" s="164"/>
      <c r="AR7" s="164"/>
      <c r="AS7" s="164"/>
    </row>
    <row r="8" spans="1:95" s="129" customFormat="1" ht="35.25" x14ac:dyDescent="0.5">
      <c r="B8" s="341"/>
      <c r="D8" s="342"/>
      <c r="E8" s="451"/>
      <c r="F8" s="451"/>
      <c r="G8" s="451"/>
      <c r="H8" s="451"/>
      <c r="I8" s="451"/>
      <c r="J8" s="451"/>
      <c r="K8" s="451"/>
      <c r="L8" s="451"/>
      <c r="M8" s="238"/>
      <c r="N8" s="451"/>
      <c r="O8" s="451"/>
      <c r="P8" s="451"/>
      <c r="Q8" s="451"/>
      <c r="R8" s="451"/>
      <c r="S8" s="451"/>
      <c r="T8" s="451"/>
      <c r="U8" s="451"/>
      <c r="V8" s="451"/>
      <c r="W8" s="451"/>
      <c r="X8" s="451"/>
      <c r="Y8" s="451"/>
      <c r="Z8" s="342"/>
      <c r="AA8" s="342"/>
      <c r="AB8" s="342"/>
      <c r="AC8" s="342"/>
      <c r="AD8" s="342"/>
      <c r="AE8" s="342"/>
      <c r="AF8" s="342"/>
      <c r="AG8" s="342"/>
      <c r="AH8" s="342"/>
    </row>
    <row r="9" spans="1:95" s="129" customFormat="1" ht="48" customHeight="1" x14ac:dyDescent="0.5">
      <c r="B9" s="143"/>
      <c r="D9" s="326"/>
      <c r="E9" s="449"/>
      <c r="F9" s="449"/>
      <c r="G9" s="449"/>
      <c r="H9" s="449"/>
      <c r="I9" s="449"/>
      <c r="J9" s="449"/>
      <c r="K9" s="449"/>
      <c r="L9" s="449"/>
      <c r="M9" s="238"/>
      <c r="N9" s="449"/>
      <c r="O9" s="449"/>
      <c r="P9" s="449"/>
      <c r="Q9" s="449" t="s">
        <v>937</v>
      </c>
      <c r="R9" s="449"/>
      <c r="S9" s="449"/>
      <c r="T9" s="449"/>
      <c r="U9" s="449"/>
      <c r="V9" s="449"/>
      <c r="W9" s="449"/>
      <c r="X9" s="449"/>
      <c r="Y9" s="449"/>
      <c r="Z9" s="326"/>
      <c r="AA9" s="326"/>
      <c r="AB9" s="326"/>
      <c r="AC9" s="326"/>
      <c r="AD9" s="326"/>
      <c r="AE9" s="326"/>
      <c r="AF9" s="326"/>
      <c r="AG9" s="326"/>
      <c r="AH9" s="326"/>
      <c r="AI9" s="143"/>
      <c r="AJ9" s="143"/>
      <c r="AK9" s="143"/>
      <c r="AL9" s="143"/>
      <c r="AM9" s="143"/>
      <c r="AN9" s="143"/>
      <c r="AO9" s="143"/>
      <c r="AP9" s="143"/>
      <c r="AQ9" s="143"/>
      <c r="AR9" s="143"/>
      <c r="AS9" s="143"/>
    </row>
    <row r="10" spans="1:95" ht="35.25" x14ac:dyDescent="0.5">
      <c r="B10" s="349"/>
      <c r="D10" s="336"/>
      <c r="E10" s="447"/>
      <c r="F10" s="447"/>
      <c r="G10" s="447"/>
      <c r="H10" s="447"/>
      <c r="I10" s="447"/>
      <c r="J10" s="447"/>
      <c r="K10" s="447"/>
      <c r="L10" s="447"/>
      <c r="M10" s="253"/>
      <c r="N10" s="447"/>
      <c r="O10" s="447"/>
      <c r="P10" s="447"/>
      <c r="Q10" s="447"/>
      <c r="R10" s="447"/>
      <c r="S10" s="447"/>
      <c r="T10" s="447"/>
      <c r="U10" s="447"/>
      <c r="V10" s="447"/>
      <c r="W10" s="447"/>
      <c r="X10" s="447"/>
      <c r="Y10" s="447"/>
      <c r="Z10" s="336"/>
      <c r="AA10" s="336"/>
      <c r="AB10" s="336"/>
      <c r="AC10" s="336"/>
      <c r="AD10" s="336"/>
      <c r="AE10" s="336"/>
      <c r="AF10" s="336"/>
      <c r="AG10" s="336"/>
      <c r="AH10" s="336"/>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row>
    <row r="11" spans="1:95" ht="35.25" x14ac:dyDescent="0.5">
      <c r="B11" s="142"/>
      <c r="D11" s="324"/>
      <c r="E11" s="452"/>
      <c r="F11" s="452"/>
      <c r="G11" s="452"/>
      <c r="H11" s="452"/>
      <c r="I11" s="452"/>
      <c r="J11" s="452"/>
      <c r="K11" s="452"/>
      <c r="L11" s="452"/>
      <c r="M11" s="253"/>
      <c r="N11" s="452"/>
      <c r="O11" s="452"/>
      <c r="P11" s="452"/>
      <c r="Q11" s="452" t="s">
        <v>942</v>
      </c>
      <c r="R11" s="452"/>
      <c r="S11" s="452"/>
      <c r="T11" s="452"/>
      <c r="U11" s="452"/>
      <c r="V11" s="452"/>
      <c r="W11" s="452"/>
      <c r="X11" s="452"/>
      <c r="Y11" s="452"/>
      <c r="Z11" s="324"/>
      <c r="AA11" s="324"/>
      <c r="AB11" s="324"/>
      <c r="AC11" s="324"/>
      <c r="AD11" s="324"/>
      <c r="AE11" s="324"/>
      <c r="AF11" s="324"/>
      <c r="AG11" s="324"/>
      <c r="AH11" s="324"/>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row>
    <row r="12" spans="1:95" ht="35.25" x14ac:dyDescent="0.5">
      <c r="B12" s="142"/>
      <c r="C12" s="142" t="s">
        <v>504</v>
      </c>
      <c r="D12" s="142"/>
      <c r="E12" s="453"/>
      <c r="F12" s="453"/>
      <c r="G12" s="453"/>
      <c r="H12" s="453"/>
      <c r="I12" s="453"/>
      <c r="J12" s="453"/>
      <c r="K12" s="453"/>
      <c r="L12" s="453"/>
      <c r="M12" s="253"/>
      <c r="N12" s="453"/>
      <c r="O12" s="453"/>
      <c r="P12" s="453"/>
      <c r="Q12" s="453"/>
      <c r="R12" s="453"/>
      <c r="S12" s="453"/>
      <c r="T12" s="453"/>
      <c r="U12" s="453"/>
      <c r="V12" s="453"/>
      <c r="W12" s="453"/>
      <c r="X12" s="453"/>
      <c r="Y12" s="453"/>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row>
    <row r="13" spans="1:95" ht="63" customHeight="1" x14ac:dyDescent="0.3">
      <c r="A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P13" s="166"/>
    </row>
    <row r="14" spans="1:95" s="312" customFormat="1" ht="173.25" customHeight="1" x14ac:dyDescent="0.3">
      <c r="A14" s="1142" t="s">
        <v>179</v>
      </c>
      <c r="B14" s="1142" t="s">
        <v>31</v>
      </c>
      <c r="C14" s="1142" t="s">
        <v>519</v>
      </c>
      <c r="D14" s="1146" t="s">
        <v>170</v>
      </c>
      <c r="E14" s="1146" t="s">
        <v>184</v>
      </c>
      <c r="F14" s="1142" t="s">
        <v>186</v>
      </c>
      <c r="G14" s="1142"/>
      <c r="H14" s="1142" t="s">
        <v>18</v>
      </c>
      <c r="I14" s="1142"/>
      <c r="J14" s="1142"/>
      <c r="K14" s="1142"/>
      <c r="L14" s="1142"/>
      <c r="M14" s="1142"/>
      <c r="N14" s="1154" t="s">
        <v>342</v>
      </c>
      <c r="O14" s="1139" t="s">
        <v>1720</v>
      </c>
      <c r="P14" s="1142" t="s">
        <v>524</v>
      </c>
      <c r="Q14" s="1142"/>
      <c r="R14" s="1142"/>
      <c r="S14" s="1142"/>
      <c r="T14" s="1142" t="s">
        <v>41</v>
      </c>
      <c r="U14" s="1142"/>
      <c r="V14" s="1148" t="s">
        <v>40</v>
      </c>
      <c r="W14" s="1149"/>
      <c r="X14" s="1150"/>
      <c r="Y14" s="1142" t="s">
        <v>418</v>
      </c>
      <c r="Z14" s="1142"/>
      <c r="AA14" s="1142"/>
      <c r="AB14" s="1142"/>
      <c r="AC14" s="1142"/>
      <c r="AD14" s="1142"/>
      <c r="AE14" s="1142"/>
      <c r="AF14" s="1142"/>
      <c r="AG14" s="1142"/>
      <c r="AH14" s="1142"/>
      <c r="AI14" s="1142" t="s">
        <v>38</v>
      </c>
      <c r="AJ14" s="1142"/>
      <c r="AK14" s="1142"/>
      <c r="AL14" s="1142"/>
      <c r="AM14" s="1142"/>
      <c r="AN14" s="1142"/>
      <c r="AO14" s="1142"/>
      <c r="AP14" s="1142"/>
      <c r="AQ14" s="1142"/>
      <c r="AR14" s="1142"/>
      <c r="AS14" s="1142"/>
      <c r="AT14" s="1142"/>
      <c r="AU14" s="1142"/>
      <c r="AV14" s="1142"/>
      <c r="AW14" s="1142"/>
      <c r="AX14" s="1142"/>
      <c r="AY14" s="1142"/>
      <c r="AZ14" s="1142"/>
      <c r="BA14" s="1142"/>
      <c r="BB14" s="1142"/>
      <c r="BC14" s="1142"/>
      <c r="BD14" s="1142"/>
      <c r="BE14" s="1142"/>
      <c r="BF14" s="1142"/>
      <c r="BG14" s="1142"/>
      <c r="BH14" s="1142"/>
      <c r="BI14" s="1142"/>
      <c r="BJ14" s="1142"/>
      <c r="BK14" s="1142"/>
      <c r="BL14" s="1142"/>
      <c r="BM14" s="1142"/>
      <c r="BN14" s="1142"/>
      <c r="BO14" s="1142"/>
      <c r="BP14" s="1142"/>
      <c r="BQ14" s="1142"/>
      <c r="BR14" s="1142"/>
      <c r="BS14" s="1142"/>
      <c r="BT14" s="1142"/>
      <c r="BU14" s="1142"/>
      <c r="BV14" s="1142"/>
      <c r="BW14" s="1142"/>
      <c r="BX14" s="1142"/>
      <c r="BY14" s="1142"/>
      <c r="BZ14" s="1142"/>
      <c r="CA14" s="1142"/>
      <c r="CB14" s="1142"/>
      <c r="CC14" s="1142"/>
      <c r="CD14" s="1142"/>
      <c r="CE14" s="1142"/>
      <c r="CF14" s="1142"/>
      <c r="CG14" s="1142"/>
      <c r="CH14" s="1142"/>
      <c r="CI14" s="1142"/>
      <c r="CJ14" s="1142"/>
      <c r="CK14" s="1142"/>
      <c r="CL14" s="1142"/>
      <c r="CM14" s="1142"/>
      <c r="CN14" s="1142"/>
      <c r="CO14" s="1142"/>
      <c r="CP14" s="1142"/>
      <c r="CQ14" s="1139" t="s">
        <v>169</v>
      </c>
    </row>
    <row r="15" spans="1:95" s="312" customFormat="1" ht="134.25" customHeight="1" x14ac:dyDescent="0.3">
      <c r="A15" s="1142"/>
      <c r="B15" s="1142"/>
      <c r="C15" s="1142"/>
      <c r="D15" s="1146"/>
      <c r="E15" s="1146"/>
      <c r="F15" s="1142"/>
      <c r="G15" s="1142"/>
      <c r="H15" s="1136" t="s">
        <v>19</v>
      </c>
      <c r="I15" s="1137"/>
      <c r="J15" s="1138"/>
      <c r="K15" s="1151" t="s">
        <v>168</v>
      </c>
      <c r="L15" s="1152"/>
      <c r="M15" s="1153"/>
      <c r="N15" s="1155"/>
      <c r="O15" s="1140"/>
      <c r="P15" s="1142" t="s">
        <v>19</v>
      </c>
      <c r="Q15" s="1142"/>
      <c r="R15" s="1142" t="s">
        <v>168</v>
      </c>
      <c r="S15" s="1142"/>
      <c r="T15" s="1142"/>
      <c r="U15" s="1142"/>
      <c r="V15" s="1151"/>
      <c r="W15" s="1152"/>
      <c r="X15" s="1153"/>
      <c r="Y15" s="1142" t="s">
        <v>167</v>
      </c>
      <c r="Z15" s="1142"/>
      <c r="AA15" s="1142"/>
      <c r="AB15" s="1142"/>
      <c r="AC15" s="1142"/>
      <c r="AD15" s="1142" t="s">
        <v>1721</v>
      </c>
      <c r="AE15" s="1142"/>
      <c r="AF15" s="1142"/>
      <c r="AG15" s="1142"/>
      <c r="AH15" s="1142"/>
      <c r="AI15" s="1136" t="s">
        <v>754</v>
      </c>
      <c r="AJ15" s="1137"/>
      <c r="AK15" s="1137"/>
      <c r="AL15" s="1137"/>
      <c r="AM15" s="1138"/>
      <c r="AN15" s="1136" t="s">
        <v>1722</v>
      </c>
      <c r="AO15" s="1137"/>
      <c r="AP15" s="1137"/>
      <c r="AQ15" s="1137"/>
      <c r="AR15" s="1138"/>
      <c r="AS15" s="1136" t="s">
        <v>755</v>
      </c>
      <c r="AT15" s="1137"/>
      <c r="AU15" s="1137"/>
      <c r="AV15" s="1137"/>
      <c r="AW15" s="1138"/>
      <c r="AX15" s="1136" t="s">
        <v>1723</v>
      </c>
      <c r="AY15" s="1137"/>
      <c r="AZ15" s="1137"/>
      <c r="BA15" s="1137"/>
      <c r="BB15" s="1138"/>
      <c r="BC15" s="1136" t="s">
        <v>756</v>
      </c>
      <c r="BD15" s="1137"/>
      <c r="BE15" s="1137"/>
      <c r="BF15" s="1137"/>
      <c r="BG15" s="1138"/>
      <c r="BH15" s="1136" t="s">
        <v>1724</v>
      </c>
      <c r="BI15" s="1137"/>
      <c r="BJ15" s="1137"/>
      <c r="BK15" s="1137"/>
      <c r="BL15" s="1138"/>
      <c r="BM15" s="1136" t="s">
        <v>757</v>
      </c>
      <c r="BN15" s="1137"/>
      <c r="BO15" s="1137"/>
      <c r="BP15" s="1137"/>
      <c r="BQ15" s="1138"/>
      <c r="BR15" s="1136" t="s">
        <v>1725</v>
      </c>
      <c r="BS15" s="1137"/>
      <c r="BT15" s="1137"/>
      <c r="BU15" s="1137"/>
      <c r="BV15" s="1138"/>
      <c r="BW15" s="1136" t="s">
        <v>758</v>
      </c>
      <c r="BX15" s="1137"/>
      <c r="BY15" s="1137"/>
      <c r="BZ15" s="1137"/>
      <c r="CA15" s="1138"/>
      <c r="CB15" s="1136" t="s">
        <v>1726</v>
      </c>
      <c r="CC15" s="1137"/>
      <c r="CD15" s="1137"/>
      <c r="CE15" s="1137"/>
      <c r="CF15" s="1138"/>
      <c r="CG15" s="1143" t="s">
        <v>39</v>
      </c>
      <c r="CH15" s="1144"/>
      <c r="CI15" s="1144"/>
      <c r="CJ15" s="1144"/>
      <c r="CK15" s="1145"/>
      <c r="CL15" s="1136" t="s">
        <v>413</v>
      </c>
      <c r="CM15" s="1137"/>
      <c r="CN15" s="1137"/>
      <c r="CO15" s="1137"/>
      <c r="CP15" s="1138"/>
      <c r="CQ15" s="1140"/>
    </row>
    <row r="16" spans="1:95" s="345" customFormat="1" ht="279" customHeight="1" x14ac:dyDescent="0.3">
      <c r="A16" s="1142"/>
      <c r="B16" s="1142"/>
      <c r="C16" s="1142"/>
      <c r="D16" s="1146"/>
      <c r="E16" s="1146"/>
      <c r="F16" s="970" t="s">
        <v>408</v>
      </c>
      <c r="G16" s="970" t="s">
        <v>168</v>
      </c>
      <c r="H16" s="971" t="s">
        <v>501</v>
      </c>
      <c r="I16" s="971" t="s">
        <v>12</v>
      </c>
      <c r="J16" s="971" t="s">
        <v>11</v>
      </c>
      <c r="K16" s="971" t="s">
        <v>501</v>
      </c>
      <c r="L16" s="971" t="s">
        <v>12</v>
      </c>
      <c r="M16" s="971" t="s">
        <v>11</v>
      </c>
      <c r="N16" s="1156"/>
      <c r="O16" s="1141"/>
      <c r="P16" s="971" t="s">
        <v>525</v>
      </c>
      <c r="Q16" s="971" t="s">
        <v>658</v>
      </c>
      <c r="R16" s="971" t="s">
        <v>525</v>
      </c>
      <c r="S16" s="971" t="s">
        <v>658</v>
      </c>
      <c r="T16" s="969" t="s">
        <v>19</v>
      </c>
      <c r="U16" s="969" t="s">
        <v>168</v>
      </c>
      <c r="V16" s="971" t="s">
        <v>409</v>
      </c>
      <c r="W16" s="971" t="s">
        <v>1727</v>
      </c>
      <c r="X16" s="971" t="s">
        <v>414</v>
      </c>
      <c r="Y16" s="971" t="s">
        <v>28</v>
      </c>
      <c r="Z16" s="971" t="s">
        <v>25</v>
      </c>
      <c r="AA16" s="971" t="s">
        <v>520</v>
      </c>
      <c r="AB16" s="969" t="s">
        <v>517</v>
      </c>
      <c r="AC16" s="969" t="s">
        <v>27</v>
      </c>
      <c r="AD16" s="971" t="s">
        <v>28</v>
      </c>
      <c r="AE16" s="971" t="s">
        <v>25</v>
      </c>
      <c r="AF16" s="971" t="s">
        <v>520</v>
      </c>
      <c r="AG16" s="969" t="s">
        <v>517</v>
      </c>
      <c r="AH16" s="969" t="s">
        <v>27</v>
      </c>
      <c r="AI16" s="971" t="s">
        <v>28</v>
      </c>
      <c r="AJ16" s="971" t="s">
        <v>25</v>
      </c>
      <c r="AK16" s="971" t="s">
        <v>520</v>
      </c>
      <c r="AL16" s="969" t="s">
        <v>517</v>
      </c>
      <c r="AM16" s="967" t="s">
        <v>824</v>
      </c>
      <c r="AN16" s="971" t="s">
        <v>28</v>
      </c>
      <c r="AO16" s="971" t="s">
        <v>25</v>
      </c>
      <c r="AP16" s="971" t="s">
        <v>520</v>
      </c>
      <c r="AQ16" s="969" t="s">
        <v>517</v>
      </c>
      <c r="AR16" s="969" t="s">
        <v>824</v>
      </c>
      <c r="AS16" s="971" t="s">
        <v>28</v>
      </c>
      <c r="AT16" s="971" t="s">
        <v>25</v>
      </c>
      <c r="AU16" s="971" t="s">
        <v>520</v>
      </c>
      <c r="AV16" s="969" t="s">
        <v>517</v>
      </c>
      <c r="AW16" s="967" t="s">
        <v>824</v>
      </c>
      <c r="AX16" s="971" t="s">
        <v>28</v>
      </c>
      <c r="AY16" s="971" t="s">
        <v>25</v>
      </c>
      <c r="AZ16" s="971" t="s">
        <v>520</v>
      </c>
      <c r="BA16" s="969" t="s">
        <v>517</v>
      </c>
      <c r="BB16" s="967" t="s">
        <v>824</v>
      </c>
      <c r="BC16" s="971" t="s">
        <v>28</v>
      </c>
      <c r="BD16" s="971" t="s">
        <v>25</v>
      </c>
      <c r="BE16" s="971" t="s">
        <v>520</v>
      </c>
      <c r="BF16" s="969" t="s">
        <v>517</v>
      </c>
      <c r="BG16" s="967" t="s">
        <v>824</v>
      </c>
      <c r="BH16" s="971" t="s">
        <v>28</v>
      </c>
      <c r="BI16" s="971" t="s">
        <v>25</v>
      </c>
      <c r="BJ16" s="971" t="s">
        <v>520</v>
      </c>
      <c r="BK16" s="969" t="s">
        <v>517</v>
      </c>
      <c r="BL16" s="967" t="s">
        <v>824</v>
      </c>
      <c r="BM16" s="971" t="s">
        <v>28</v>
      </c>
      <c r="BN16" s="971" t="s">
        <v>25</v>
      </c>
      <c r="BO16" s="971" t="s">
        <v>520</v>
      </c>
      <c r="BP16" s="969" t="s">
        <v>517</v>
      </c>
      <c r="BQ16" s="967" t="s">
        <v>824</v>
      </c>
      <c r="BR16" s="971" t="s">
        <v>28</v>
      </c>
      <c r="BS16" s="971" t="s">
        <v>25</v>
      </c>
      <c r="BT16" s="971" t="s">
        <v>520</v>
      </c>
      <c r="BU16" s="969" t="s">
        <v>517</v>
      </c>
      <c r="BV16" s="967" t="s">
        <v>824</v>
      </c>
      <c r="BW16" s="971" t="s">
        <v>28</v>
      </c>
      <c r="BX16" s="971" t="s">
        <v>25</v>
      </c>
      <c r="BY16" s="971" t="s">
        <v>520</v>
      </c>
      <c r="BZ16" s="969" t="s">
        <v>517</v>
      </c>
      <c r="CA16" s="967" t="s">
        <v>824</v>
      </c>
      <c r="CB16" s="971" t="s">
        <v>28</v>
      </c>
      <c r="CC16" s="971" t="s">
        <v>25</v>
      </c>
      <c r="CD16" s="971" t="s">
        <v>520</v>
      </c>
      <c r="CE16" s="969" t="s">
        <v>517</v>
      </c>
      <c r="CF16" s="967" t="s">
        <v>824</v>
      </c>
      <c r="CG16" s="971" t="s">
        <v>28</v>
      </c>
      <c r="CH16" s="971" t="s">
        <v>25</v>
      </c>
      <c r="CI16" s="971" t="s">
        <v>520</v>
      </c>
      <c r="CJ16" s="969" t="s">
        <v>517</v>
      </c>
      <c r="CK16" s="967" t="s">
        <v>824</v>
      </c>
      <c r="CL16" s="971" t="s">
        <v>28</v>
      </c>
      <c r="CM16" s="971" t="s">
        <v>25</v>
      </c>
      <c r="CN16" s="971" t="s">
        <v>520</v>
      </c>
      <c r="CO16" s="969" t="s">
        <v>517</v>
      </c>
      <c r="CP16" s="967" t="s">
        <v>824</v>
      </c>
      <c r="CQ16" s="1141"/>
    </row>
    <row r="17" spans="1:98" ht="19.5" customHeight="1" x14ac:dyDescent="0.3">
      <c r="A17" s="169">
        <v>1</v>
      </c>
      <c r="B17" s="334">
        <v>2</v>
      </c>
      <c r="C17" s="334">
        <v>3</v>
      </c>
      <c r="D17" s="334">
        <v>4</v>
      </c>
      <c r="E17" s="334">
        <v>5</v>
      </c>
      <c r="F17" s="334">
        <v>6</v>
      </c>
      <c r="G17" s="334">
        <v>7</v>
      </c>
      <c r="H17" s="334">
        <v>8</v>
      </c>
      <c r="I17" s="334">
        <v>9</v>
      </c>
      <c r="J17" s="334">
        <v>10</v>
      </c>
      <c r="K17" s="334">
        <v>11</v>
      </c>
      <c r="L17" s="334">
        <v>12</v>
      </c>
      <c r="M17" s="334">
        <v>13</v>
      </c>
      <c r="N17" s="334">
        <v>14</v>
      </c>
      <c r="O17" s="334">
        <v>15</v>
      </c>
      <c r="P17" s="170" t="s">
        <v>646</v>
      </c>
      <c r="Q17" s="170" t="s">
        <v>647</v>
      </c>
      <c r="R17" s="170" t="s">
        <v>648</v>
      </c>
      <c r="S17" s="170" t="s">
        <v>649</v>
      </c>
      <c r="T17" s="334">
        <v>17</v>
      </c>
      <c r="U17" s="334">
        <v>18</v>
      </c>
      <c r="V17" s="334">
        <v>19</v>
      </c>
      <c r="W17" s="334">
        <v>20</v>
      </c>
      <c r="X17" s="334">
        <v>21</v>
      </c>
      <c r="Y17" s="334">
        <v>22</v>
      </c>
      <c r="Z17" s="334">
        <v>23</v>
      </c>
      <c r="AA17" s="334">
        <v>24</v>
      </c>
      <c r="AB17" s="334">
        <v>25</v>
      </c>
      <c r="AC17" s="334">
        <v>26</v>
      </c>
      <c r="AD17" s="334">
        <v>27</v>
      </c>
      <c r="AE17" s="334">
        <v>28</v>
      </c>
      <c r="AF17" s="334">
        <v>29</v>
      </c>
      <c r="AG17" s="334">
        <v>30</v>
      </c>
      <c r="AH17" s="334">
        <v>31</v>
      </c>
      <c r="AI17" s="170" t="s">
        <v>425</v>
      </c>
      <c r="AJ17" s="170" t="s">
        <v>426</v>
      </c>
      <c r="AK17" s="170" t="s">
        <v>427</v>
      </c>
      <c r="AL17" s="170" t="s">
        <v>428</v>
      </c>
      <c r="AM17" s="170" t="s">
        <v>429</v>
      </c>
      <c r="AN17" s="170" t="s">
        <v>430</v>
      </c>
      <c r="AO17" s="170" t="s">
        <v>431</v>
      </c>
      <c r="AP17" s="170" t="s">
        <v>432</v>
      </c>
      <c r="AQ17" s="170" t="s">
        <v>433</v>
      </c>
      <c r="AR17" s="170" t="s">
        <v>434</v>
      </c>
      <c r="AS17" s="170" t="s">
        <v>435</v>
      </c>
      <c r="AT17" s="170" t="s">
        <v>436</v>
      </c>
      <c r="AU17" s="170" t="s">
        <v>437</v>
      </c>
      <c r="AV17" s="170" t="s">
        <v>438</v>
      </c>
      <c r="AW17" s="170" t="s">
        <v>439</v>
      </c>
      <c r="AX17" s="962" t="s">
        <v>440</v>
      </c>
      <c r="AY17" s="962" t="s">
        <v>441</v>
      </c>
      <c r="AZ17" s="962" t="s">
        <v>442</v>
      </c>
      <c r="BA17" s="962" t="s">
        <v>443</v>
      </c>
      <c r="BB17" s="962" t="s">
        <v>444</v>
      </c>
      <c r="BC17" s="170" t="s">
        <v>445</v>
      </c>
      <c r="BD17" s="170" t="s">
        <v>446</v>
      </c>
      <c r="BE17" s="170" t="s">
        <v>447</v>
      </c>
      <c r="BF17" s="170" t="s">
        <v>448</v>
      </c>
      <c r="BG17" s="170" t="s">
        <v>449</v>
      </c>
      <c r="BH17" s="962" t="s">
        <v>450</v>
      </c>
      <c r="BI17" s="962" t="s">
        <v>451</v>
      </c>
      <c r="BJ17" s="962" t="s">
        <v>452</v>
      </c>
      <c r="BK17" s="962" t="s">
        <v>453</v>
      </c>
      <c r="BL17" s="962" t="s">
        <v>454</v>
      </c>
      <c r="BM17" s="170" t="s">
        <v>445</v>
      </c>
      <c r="BN17" s="170" t="s">
        <v>446</v>
      </c>
      <c r="BO17" s="170" t="s">
        <v>447</v>
      </c>
      <c r="BP17" s="170" t="s">
        <v>448</v>
      </c>
      <c r="BQ17" s="170" t="s">
        <v>449</v>
      </c>
      <c r="BR17" s="170" t="s">
        <v>450</v>
      </c>
      <c r="BS17" s="170" t="s">
        <v>451</v>
      </c>
      <c r="BT17" s="170" t="s">
        <v>452</v>
      </c>
      <c r="BU17" s="170" t="s">
        <v>453</v>
      </c>
      <c r="BV17" s="170" t="s">
        <v>454</v>
      </c>
      <c r="BW17" s="170" t="s">
        <v>445</v>
      </c>
      <c r="BX17" s="170" t="s">
        <v>446</v>
      </c>
      <c r="BY17" s="170" t="s">
        <v>447</v>
      </c>
      <c r="BZ17" s="170" t="s">
        <v>448</v>
      </c>
      <c r="CA17" s="170" t="s">
        <v>449</v>
      </c>
      <c r="CB17" s="170" t="s">
        <v>450</v>
      </c>
      <c r="CC17" s="170" t="s">
        <v>451</v>
      </c>
      <c r="CD17" s="170" t="s">
        <v>452</v>
      </c>
      <c r="CE17" s="170" t="s">
        <v>453</v>
      </c>
      <c r="CF17" s="170" t="s">
        <v>454</v>
      </c>
      <c r="CG17" s="169">
        <v>33</v>
      </c>
      <c r="CH17" s="169">
        <v>34</v>
      </c>
      <c r="CI17" s="169">
        <v>35</v>
      </c>
      <c r="CJ17" s="169">
        <v>36</v>
      </c>
      <c r="CK17" s="169">
        <v>37</v>
      </c>
      <c r="CL17" s="169">
        <v>38</v>
      </c>
      <c r="CM17" s="169">
        <v>39</v>
      </c>
      <c r="CN17" s="169">
        <v>40</v>
      </c>
      <c r="CO17" s="169">
        <v>41</v>
      </c>
      <c r="CP17" s="169">
        <v>42</v>
      </c>
      <c r="CQ17" s="169">
        <v>43</v>
      </c>
    </row>
    <row r="18" spans="1:98" s="457" customFormat="1" ht="64.5" customHeight="1" x14ac:dyDescent="0.45">
      <c r="A18" s="1047" t="s">
        <v>711</v>
      </c>
      <c r="B18" s="1048" t="s">
        <v>684</v>
      </c>
      <c r="C18" s="554" t="s">
        <v>621</v>
      </c>
      <c r="D18" s="554" t="s">
        <v>621</v>
      </c>
      <c r="E18" s="554" t="s">
        <v>621</v>
      </c>
      <c r="F18" s="554" t="s">
        <v>621</v>
      </c>
      <c r="G18" s="554" t="s">
        <v>621</v>
      </c>
      <c r="H18" s="555">
        <f t="shared" ref="H18:L21" si="0">H19</f>
        <v>315.52999999999997</v>
      </c>
      <c r="I18" s="555">
        <f t="shared" si="0"/>
        <v>315.52999999999997</v>
      </c>
      <c r="J18" s="555" t="s">
        <v>621</v>
      </c>
      <c r="K18" s="555">
        <f t="shared" si="0"/>
        <v>442.54</v>
      </c>
      <c r="L18" s="555">
        <f t="shared" si="0"/>
        <v>462.56</v>
      </c>
      <c r="M18" s="554" t="s">
        <v>621</v>
      </c>
      <c r="N18" s="554" t="s">
        <v>621</v>
      </c>
      <c r="O18" s="554" t="s">
        <v>621</v>
      </c>
      <c r="P18" s="555">
        <f t="shared" ref="P18:U19" si="1">P19</f>
        <v>315.52999999999997</v>
      </c>
      <c r="Q18" s="555">
        <f t="shared" si="1"/>
        <v>502.68</v>
      </c>
      <c r="R18" s="554">
        <f t="shared" si="1"/>
        <v>444.9</v>
      </c>
      <c r="S18" s="554">
        <f t="shared" ca="1" si="1"/>
        <v>520.73</v>
      </c>
      <c r="T18" s="555">
        <f t="shared" si="1"/>
        <v>502.68</v>
      </c>
      <c r="U18" s="555">
        <f t="shared" ca="1" si="1"/>
        <v>520.73</v>
      </c>
      <c r="V18" s="554" t="s">
        <v>621</v>
      </c>
      <c r="W18" s="554" t="s">
        <v>621</v>
      </c>
      <c r="X18" s="554" t="s">
        <v>621</v>
      </c>
      <c r="Y18" s="554" t="s">
        <v>621</v>
      </c>
      <c r="Z18" s="554" t="s">
        <v>621</v>
      </c>
      <c r="AA18" s="554" t="s">
        <v>621</v>
      </c>
      <c r="AB18" s="554" t="s">
        <v>621</v>
      </c>
      <c r="AC18" s="554" t="s">
        <v>621</v>
      </c>
      <c r="AD18" s="554" t="s">
        <v>621</v>
      </c>
      <c r="AE18" s="554" t="s">
        <v>621</v>
      </c>
      <c r="AF18" s="554" t="s">
        <v>621</v>
      </c>
      <c r="AG18" s="554" t="s">
        <v>621</v>
      </c>
      <c r="AH18" s="554" t="s">
        <v>621</v>
      </c>
      <c r="AI18" s="555">
        <f>AI19</f>
        <v>72.59</v>
      </c>
      <c r="AJ18" s="554" t="s">
        <v>621</v>
      </c>
      <c r="AK18" s="554" t="s">
        <v>621</v>
      </c>
      <c r="AL18" s="555">
        <f t="shared" ref="AL18:AN21" si="2">AL19</f>
        <v>0</v>
      </c>
      <c r="AM18" s="555">
        <f t="shared" si="2"/>
        <v>72.59</v>
      </c>
      <c r="AN18" s="555">
        <f>AN19</f>
        <v>72.59</v>
      </c>
      <c r="AO18" s="554" t="s">
        <v>621</v>
      </c>
      <c r="AP18" s="554" t="s">
        <v>621</v>
      </c>
      <c r="AQ18" s="555">
        <f t="shared" ref="AQ18:AS19" si="3">AQ19</f>
        <v>0</v>
      </c>
      <c r="AR18" s="555">
        <f t="shared" si="3"/>
        <v>72.59</v>
      </c>
      <c r="AS18" s="555">
        <f t="shared" si="3"/>
        <v>119.33</v>
      </c>
      <c r="AT18" s="554" t="s">
        <v>621</v>
      </c>
      <c r="AU18" s="554" t="s">
        <v>621</v>
      </c>
      <c r="AV18" s="555">
        <f t="shared" ref="AV18:AW21" si="4">AV19</f>
        <v>32.26</v>
      </c>
      <c r="AW18" s="555">
        <f t="shared" si="4"/>
        <v>87.07</v>
      </c>
      <c r="AX18" s="555">
        <f>AX19</f>
        <v>122.7</v>
      </c>
      <c r="AY18" s="554" t="s">
        <v>621</v>
      </c>
      <c r="AZ18" s="554" t="s">
        <v>621</v>
      </c>
      <c r="BA18" s="555">
        <f>BA19</f>
        <v>32.26</v>
      </c>
      <c r="BB18" s="555">
        <f>BB19</f>
        <v>90.44</v>
      </c>
      <c r="BC18" s="555">
        <f>BC19</f>
        <v>99.86</v>
      </c>
      <c r="BD18" s="554" t="s">
        <v>621</v>
      </c>
      <c r="BE18" s="554" t="s">
        <v>621</v>
      </c>
      <c r="BF18" s="555">
        <f t="shared" ref="BF18:BH21" si="5">BF19</f>
        <v>12.79</v>
      </c>
      <c r="BG18" s="555">
        <f t="shared" si="5"/>
        <v>87.07</v>
      </c>
      <c r="BH18" s="555">
        <f>BH19</f>
        <v>103.71</v>
      </c>
      <c r="BI18" s="554" t="s">
        <v>621</v>
      </c>
      <c r="BJ18" s="554" t="s">
        <v>621</v>
      </c>
      <c r="BK18" s="555">
        <f>BK19</f>
        <v>12.79</v>
      </c>
      <c r="BL18" s="555">
        <f>BL19</f>
        <v>90.92</v>
      </c>
      <c r="BM18" s="555">
        <f>BP18+BQ18</f>
        <v>101.47</v>
      </c>
      <c r="BN18" s="554" t="s">
        <v>621</v>
      </c>
      <c r="BO18" s="554" t="s">
        <v>621</v>
      </c>
      <c r="BP18" s="555">
        <f>BU18</f>
        <v>14.4</v>
      </c>
      <c r="BQ18" s="555">
        <f>BQ19</f>
        <v>87.07</v>
      </c>
      <c r="BR18" s="555">
        <f>BR19</f>
        <v>105.85</v>
      </c>
      <c r="BS18" s="554" t="s">
        <v>621</v>
      </c>
      <c r="BT18" s="554" t="s">
        <v>621</v>
      </c>
      <c r="BU18" s="555">
        <f>BU19</f>
        <v>14.4</v>
      </c>
      <c r="BV18" s="555">
        <f>BV19</f>
        <v>91.45</v>
      </c>
      <c r="BW18" s="555">
        <f>CB18</f>
        <v>115.88</v>
      </c>
      <c r="BX18" s="554" t="s">
        <v>621</v>
      </c>
      <c r="BY18" s="554" t="s">
        <v>621</v>
      </c>
      <c r="BZ18" s="555">
        <f t="shared" ref="BZ18:CA20" si="6">CE18</f>
        <v>22.36</v>
      </c>
      <c r="CA18" s="555">
        <f t="shared" si="6"/>
        <v>93.52</v>
      </c>
      <c r="CB18" s="555">
        <f>CB19</f>
        <v>115.88</v>
      </c>
      <c r="CC18" s="554" t="s">
        <v>621</v>
      </c>
      <c r="CD18" s="554" t="s">
        <v>621</v>
      </c>
      <c r="CE18" s="555">
        <f>CE19</f>
        <v>22.36</v>
      </c>
      <c r="CF18" s="555">
        <f>CF19</f>
        <v>93.52</v>
      </c>
      <c r="CG18" s="555">
        <v>502.68</v>
      </c>
      <c r="CH18" s="554" t="s">
        <v>621</v>
      </c>
      <c r="CI18" s="554" t="s">
        <v>621</v>
      </c>
      <c r="CJ18" s="555">
        <f>CJ19</f>
        <v>81.81</v>
      </c>
      <c r="CK18" s="555">
        <f>CK19</f>
        <v>420.87</v>
      </c>
      <c r="CL18" s="555">
        <f>CL21+CL48+CL51+CL74</f>
        <v>520.73</v>
      </c>
      <c r="CM18" s="554" t="s">
        <v>621</v>
      </c>
      <c r="CN18" s="554" t="s">
        <v>621</v>
      </c>
      <c r="CO18" s="555">
        <f>CO19</f>
        <v>81.81</v>
      </c>
      <c r="CP18" s="555">
        <f>CP19</f>
        <v>438.92</v>
      </c>
      <c r="CQ18" s="554"/>
      <c r="CS18" s="561">
        <f>CL18/1.2</f>
        <v>433.94</v>
      </c>
      <c r="CT18" s="561"/>
    </row>
    <row r="19" spans="1:98" s="253" customFormat="1" ht="72.75" customHeight="1" x14ac:dyDescent="0.5">
      <c r="A19" s="458" t="s">
        <v>713</v>
      </c>
      <c r="B19" s="459" t="s">
        <v>686</v>
      </c>
      <c r="C19" s="460" t="s">
        <v>621</v>
      </c>
      <c r="D19" s="460" t="s">
        <v>621</v>
      </c>
      <c r="E19" s="460" t="s">
        <v>621</v>
      </c>
      <c r="F19" s="460" t="s">
        <v>621</v>
      </c>
      <c r="G19" s="460" t="s">
        <v>621</v>
      </c>
      <c r="H19" s="461">
        <f t="shared" si="0"/>
        <v>315.52999999999997</v>
      </c>
      <c r="I19" s="461">
        <f t="shared" si="0"/>
        <v>315.52999999999997</v>
      </c>
      <c r="J19" s="461" t="s">
        <v>621</v>
      </c>
      <c r="K19" s="461">
        <f t="shared" si="0"/>
        <v>442.54</v>
      </c>
      <c r="L19" s="461">
        <f t="shared" si="0"/>
        <v>462.56</v>
      </c>
      <c r="M19" s="460" t="s">
        <v>621</v>
      </c>
      <c r="N19" s="460" t="s">
        <v>621</v>
      </c>
      <c r="O19" s="460" t="s">
        <v>621</v>
      </c>
      <c r="P19" s="461">
        <f t="shared" si="1"/>
        <v>315.52999999999997</v>
      </c>
      <c r="Q19" s="461">
        <f t="shared" si="1"/>
        <v>502.68</v>
      </c>
      <c r="R19" s="460">
        <f t="shared" si="1"/>
        <v>444.9</v>
      </c>
      <c r="S19" s="461">
        <f t="shared" ca="1" si="1"/>
        <v>520.73</v>
      </c>
      <c r="T19" s="461">
        <f t="shared" si="1"/>
        <v>502.68</v>
      </c>
      <c r="U19" s="461">
        <f t="shared" ca="1" si="1"/>
        <v>520.73</v>
      </c>
      <c r="V19" s="460" t="s">
        <v>621</v>
      </c>
      <c r="W19" s="460" t="s">
        <v>621</v>
      </c>
      <c r="X19" s="460" t="s">
        <v>621</v>
      </c>
      <c r="Y19" s="460" t="s">
        <v>621</v>
      </c>
      <c r="Z19" s="460" t="s">
        <v>621</v>
      </c>
      <c r="AA19" s="460" t="s">
        <v>621</v>
      </c>
      <c r="AB19" s="460" t="s">
        <v>621</v>
      </c>
      <c r="AC19" s="460" t="s">
        <v>621</v>
      </c>
      <c r="AD19" s="460" t="s">
        <v>621</v>
      </c>
      <c r="AE19" s="460" t="s">
        <v>621</v>
      </c>
      <c r="AF19" s="460" t="s">
        <v>621</v>
      </c>
      <c r="AG19" s="460" t="s">
        <v>621</v>
      </c>
      <c r="AH19" s="460" t="s">
        <v>621</v>
      </c>
      <c r="AI19" s="461">
        <f>AI20</f>
        <v>72.59</v>
      </c>
      <c r="AJ19" s="460" t="s">
        <v>621</v>
      </c>
      <c r="AK19" s="460" t="s">
        <v>621</v>
      </c>
      <c r="AL19" s="461">
        <f t="shared" si="2"/>
        <v>0</v>
      </c>
      <c r="AM19" s="461">
        <f t="shared" si="2"/>
        <v>72.59</v>
      </c>
      <c r="AN19" s="461">
        <f t="shared" si="2"/>
        <v>72.59</v>
      </c>
      <c r="AO19" s="460" t="s">
        <v>621</v>
      </c>
      <c r="AP19" s="460" t="s">
        <v>621</v>
      </c>
      <c r="AQ19" s="461">
        <f t="shared" si="3"/>
        <v>0</v>
      </c>
      <c r="AR19" s="461">
        <f t="shared" si="3"/>
        <v>72.59</v>
      </c>
      <c r="AS19" s="461">
        <f t="shared" si="3"/>
        <v>119.33</v>
      </c>
      <c r="AT19" s="460" t="s">
        <v>621</v>
      </c>
      <c r="AU19" s="464" t="s">
        <v>621</v>
      </c>
      <c r="AV19" s="465">
        <f t="shared" si="4"/>
        <v>32.26</v>
      </c>
      <c r="AW19" s="465">
        <f t="shared" si="4"/>
        <v>87.07</v>
      </c>
      <c r="AX19" s="465">
        <f>AX21+AX48+AX51+AX74</f>
        <v>122.7</v>
      </c>
      <c r="AY19" s="464" t="s">
        <v>621</v>
      </c>
      <c r="AZ19" s="464" t="s">
        <v>621</v>
      </c>
      <c r="BA19" s="465">
        <f>BA48</f>
        <v>32.26</v>
      </c>
      <c r="BB19" s="465">
        <f>BB20</f>
        <v>90.44</v>
      </c>
      <c r="BC19" s="465">
        <f>BF19+BG19</f>
        <v>99.86</v>
      </c>
      <c r="BD19" s="464" t="s">
        <v>621</v>
      </c>
      <c r="BE19" s="464" t="s">
        <v>621</v>
      </c>
      <c r="BF19" s="465">
        <f t="shared" si="5"/>
        <v>12.79</v>
      </c>
      <c r="BG19" s="465">
        <f t="shared" si="5"/>
        <v>87.07</v>
      </c>
      <c r="BH19" s="465">
        <f t="shared" si="5"/>
        <v>103.71</v>
      </c>
      <c r="BI19" s="464" t="s">
        <v>621</v>
      </c>
      <c r="BJ19" s="464" t="s">
        <v>621</v>
      </c>
      <c r="BK19" s="465">
        <f>BK20</f>
        <v>12.79</v>
      </c>
      <c r="BL19" s="465">
        <f>BL20</f>
        <v>90.92</v>
      </c>
      <c r="BM19" s="558">
        <f>BM20</f>
        <v>101.47</v>
      </c>
      <c r="BN19" s="460" t="s">
        <v>621</v>
      </c>
      <c r="BO19" s="460" t="s">
        <v>621</v>
      </c>
      <c r="BP19" s="461">
        <f>BU19</f>
        <v>14.4</v>
      </c>
      <c r="BQ19" s="461">
        <f>BQ20</f>
        <v>87.07</v>
      </c>
      <c r="BR19" s="461">
        <f>BR20</f>
        <v>105.85</v>
      </c>
      <c r="BS19" s="460" t="s">
        <v>621</v>
      </c>
      <c r="BT19" s="460" t="s">
        <v>621</v>
      </c>
      <c r="BU19" s="461">
        <f>BU20</f>
        <v>14.4</v>
      </c>
      <c r="BV19" s="461">
        <f>BV20</f>
        <v>91.45</v>
      </c>
      <c r="BW19" s="661">
        <f>CB19</f>
        <v>115.88</v>
      </c>
      <c r="BX19" s="460" t="s">
        <v>621</v>
      </c>
      <c r="BY19" s="460" t="s">
        <v>621</v>
      </c>
      <c r="BZ19" s="661">
        <f t="shared" si="6"/>
        <v>22.36</v>
      </c>
      <c r="CA19" s="661">
        <f t="shared" si="6"/>
        <v>93.52</v>
      </c>
      <c r="CB19" s="461">
        <f>CF19+CE19</f>
        <v>115.88</v>
      </c>
      <c r="CC19" s="460" t="s">
        <v>621</v>
      </c>
      <c r="CD19" s="460" t="s">
        <v>621</v>
      </c>
      <c r="CE19" s="461">
        <f>CE20</f>
        <v>22.36</v>
      </c>
      <c r="CF19" s="461">
        <f>CF20</f>
        <v>93.52</v>
      </c>
      <c r="CG19" s="461">
        <f>CJ19+CK19</f>
        <v>502.68</v>
      </c>
      <c r="CH19" s="460" t="s">
        <v>621</v>
      </c>
      <c r="CI19" s="460" t="s">
        <v>621</v>
      </c>
      <c r="CJ19" s="461">
        <f>CJ20</f>
        <v>81.81</v>
      </c>
      <c r="CK19" s="461">
        <f>CK20</f>
        <v>420.87</v>
      </c>
      <c r="CL19" s="461">
        <f>CB19+BR19+BH19+AX19+AI19</f>
        <v>520.73</v>
      </c>
      <c r="CM19" s="460" t="s">
        <v>621</v>
      </c>
      <c r="CN19" s="460" t="s">
        <v>621</v>
      </c>
      <c r="CO19" s="461">
        <f>CO20</f>
        <v>81.81</v>
      </c>
      <c r="CP19" s="461">
        <f>CF19+BV19+BL19+BB19+AR19</f>
        <v>438.92</v>
      </c>
      <c r="CQ19" s="460"/>
      <c r="CS19" s="561"/>
      <c r="CT19" s="562"/>
    </row>
    <row r="20" spans="1:98" s="253" customFormat="1" ht="59.25" customHeight="1" x14ac:dyDescent="0.5">
      <c r="A20" s="462" t="s">
        <v>537</v>
      </c>
      <c r="B20" s="463" t="s">
        <v>691</v>
      </c>
      <c r="C20" s="460" t="s">
        <v>621</v>
      </c>
      <c r="D20" s="460" t="s">
        <v>621</v>
      </c>
      <c r="E20" s="460" t="s">
        <v>621</v>
      </c>
      <c r="F20" s="460" t="s">
        <v>621</v>
      </c>
      <c r="G20" s="460" t="s">
        <v>621</v>
      </c>
      <c r="H20" s="461">
        <f>H21+H51</f>
        <v>315.52999999999997</v>
      </c>
      <c r="I20" s="461">
        <f>I21+I51</f>
        <v>315.52999999999997</v>
      </c>
      <c r="J20" s="461" t="s">
        <v>621</v>
      </c>
      <c r="K20" s="461">
        <f>K21+K51+K48+K74</f>
        <v>442.54</v>
      </c>
      <c r="L20" s="461">
        <f>L21+L51+L48+L74</f>
        <v>462.56</v>
      </c>
      <c r="M20" s="460" t="s">
        <v>621</v>
      </c>
      <c r="N20" s="460" t="s">
        <v>621</v>
      </c>
      <c r="O20" s="460" t="s">
        <v>621</v>
      </c>
      <c r="P20" s="461">
        <f>P21+P51+P48</f>
        <v>315.52999999999997</v>
      </c>
      <c r="Q20" s="461">
        <f>Q21+Q48+Q51+Q74</f>
        <v>502.68</v>
      </c>
      <c r="R20" s="461">
        <f>R21+R51+R48+R74</f>
        <v>444.9</v>
      </c>
      <c r="S20" s="461">
        <f ca="1">S21+S51+S48+S74</f>
        <v>520.73</v>
      </c>
      <c r="T20" s="461">
        <f>T21+T51+T48+T74</f>
        <v>502.68</v>
      </c>
      <c r="U20" s="461">
        <f ca="1">U21+U48+U51+U74</f>
        <v>520.73</v>
      </c>
      <c r="V20" s="460" t="s">
        <v>621</v>
      </c>
      <c r="W20" s="460" t="s">
        <v>621</v>
      </c>
      <c r="X20" s="460" t="s">
        <v>621</v>
      </c>
      <c r="Y20" s="460" t="s">
        <v>621</v>
      </c>
      <c r="Z20" s="460" t="s">
        <v>621</v>
      </c>
      <c r="AA20" s="460" t="s">
        <v>621</v>
      </c>
      <c r="AB20" s="460" t="s">
        <v>621</v>
      </c>
      <c r="AC20" s="460" t="s">
        <v>621</v>
      </c>
      <c r="AD20" s="460" t="s">
        <v>621</v>
      </c>
      <c r="AE20" s="460" t="s">
        <v>621</v>
      </c>
      <c r="AF20" s="460" t="s">
        <v>621</v>
      </c>
      <c r="AG20" s="460" t="s">
        <v>621</v>
      </c>
      <c r="AH20" s="460" t="s">
        <v>621</v>
      </c>
      <c r="AI20" s="461">
        <f>AI21+AI51+AI48+AI70</f>
        <v>72.59</v>
      </c>
      <c r="AJ20" s="460" t="s">
        <v>621</v>
      </c>
      <c r="AK20" s="460" t="s">
        <v>621</v>
      </c>
      <c r="AL20" s="461">
        <f>AL21+AL51+AL48</f>
        <v>0</v>
      </c>
      <c r="AM20" s="461">
        <f>AM21+AM51+AM48+AM70</f>
        <v>72.59</v>
      </c>
      <c r="AN20" s="461">
        <f>AN21+AN51+AN48+AN70</f>
        <v>72.59</v>
      </c>
      <c r="AO20" s="460" t="s">
        <v>621</v>
      </c>
      <c r="AP20" s="460" t="s">
        <v>621</v>
      </c>
      <c r="AQ20" s="461">
        <f>AQ21+AQ51+AQ48</f>
        <v>0</v>
      </c>
      <c r="AR20" s="461">
        <f>AR21+AR51+AR48+AR70</f>
        <v>72.59</v>
      </c>
      <c r="AS20" s="461">
        <f>AS21+AS51+AS48+AS74</f>
        <v>119.33</v>
      </c>
      <c r="AT20" s="461" t="s">
        <v>621</v>
      </c>
      <c r="AU20" s="465" t="s">
        <v>621</v>
      </c>
      <c r="AV20" s="465">
        <f>AV21+AV51+AV48+AV74</f>
        <v>32.26</v>
      </c>
      <c r="AW20" s="465">
        <f>AW21+AW51+AW48+AW74</f>
        <v>87.07</v>
      </c>
      <c r="AX20" s="465">
        <f>BA20+BB20</f>
        <v>122.7</v>
      </c>
      <c r="AY20" s="464" t="s">
        <v>621</v>
      </c>
      <c r="AZ20" s="464" t="s">
        <v>621</v>
      </c>
      <c r="BA20" s="465">
        <f>BA21+BA51+BA48</f>
        <v>32.26</v>
      </c>
      <c r="BB20" s="465">
        <f>BB21+BB51+BB48+BB74</f>
        <v>90.44</v>
      </c>
      <c r="BC20" s="465">
        <f>BC21+BC48+BC51</f>
        <v>99.86</v>
      </c>
      <c r="BD20" s="464" t="s">
        <v>621</v>
      </c>
      <c r="BE20" s="464" t="s">
        <v>621</v>
      </c>
      <c r="BF20" s="465">
        <f>BF21+BF51+BF48</f>
        <v>12.79</v>
      </c>
      <c r="BG20" s="465">
        <f>BG21+BG51+BG48</f>
        <v>87.07</v>
      </c>
      <c r="BH20" s="465">
        <f>BH21+BH51+BH48</f>
        <v>103.71</v>
      </c>
      <c r="BI20" s="464" t="s">
        <v>621</v>
      </c>
      <c r="BJ20" s="464" t="s">
        <v>621</v>
      </c>
      <c r="BK20" s="465">
        <f>BK21+BK51+BK48</f>
        <v>12.79</v>
      </c>
      <c r="BL20" s="465">
        <f>BL21+BL51+BL48</f>
        <v>90.92</v>
      </c>
      <c r="BM20" s="558">
        <f>BM21+BM48+BM51</f>
        <v>101.47</v>
      </c>
      <c r="BN20" s="460" t="s">
        <v>621</v>
      </c>
      <c r="BO20" s="460" t="s">
        <v>621</v>
      </c>
      <c r="BP20" s="461">
        <f>BU20</f>
        <v>14.4</v>
      </c>
      <c r="BQ20" s="461">
        <f>BQ21+BQ48+BQ51</f>
        <v>87.07</v>
      </c>
      <c r="BR20" s="461">
        <f>BR21+BR48+BR51</f>
        <v>105.85</v>
      </c>
      <c r="BS20" s="460" t="s">
        <v>621</v>
      </c>
      <c r="BT20" s="460" t="s">
        <v>621</v>
      </c>
      <c r="BU20" s="461">
        <f>BU21+BU51+BU48</f>
        <v>14.4</v>
      </c>
      <c r="BV20" s="461">
        <f>BV21+BV48+BV51</f>
        <v>91.45</v>
      </c>
      <c r="BW20" s="661">
        <f>BW21+BW48+BW51</f>
        <v>114.31</v>
      </c>
      <c r="BX20" s="460" t="s">
        <v>621</v>
      </c>
      <c r="BY20" s="460" t="s">
        <v>621</v>
      </c>
      <c r="BZ20" s="661">
        <f t="shared" si="6"/>
        <v>22.36</v>
      </c>
      <c r="CA20" s="661">
        <f t="shared" si="6"/>
        <v>93.52</v>
      </c>
      <c r="CB20" s="461">
        <f>CB21+CB51+CB48</f>
        <v>115.88</v>
      </c>
      <c r="CC20" s="460" t="s">
        <v>621</v>
      </c>
      <c r="CD20" s="460" t="s">
        <v>621</v>
      </c>
      <c r="CE20" s="461">
        <f>CE21+CE51+CE48</f>
        <v>22.36</v>
      </c>
      <c r="CF20" s="461">
        <f>CF21+CF51+CF48</f>
        <v>93.52</v>
      </c>
      <c r="CG20" s="461">
        <f>CG21+CG48+CG51+CG74</f>
        <v>502.68</v>
      </c>
      <c r="CH20" s="460" t="s">
        <v>621</v>
      </c>
      <c r="CI20" s="460" t="s">
        <v>621</v>
      </c>
      <c r="CJ20" s="461">
        <f>CJ21+CJ51+CJ48</f>
        <v>81.81</v>
      </c>
      <c r="CK20" s="461">
        <f>CK21+CK51+CK48+CK74</f>
        <v>420.87</v>
      </c>
      <c r="CL20" s="461">
        <f>CL22+CL48+CL51+CL74</f>
        <v>520.73</v>
      </c>
      <c r="CM20" s="461" t="s">
        <v>621</v>
      </c>
      <c r="CN20" s="461" t="s">
        <v>621</v>
      </c>
      <c r="CO20" s="461">
        <f>CO48</f>
        <v>81.81</v>
      </c>
      <c r="CP20" s="461">
        <f>CP21+CP48+CP51+CP74</f>
        <v>438.92</v>
      </c>
      <c r="CQ20" s="460"/>
      <c r="CS20" s="561"/>
      <c r="CT20" s="562"/>
    </row>
    <row r="21" spans="1:98" s="457" customFormat="1" ht="106.5" customHeight="1" x14ac:dyDescent="0.45">
      <c r="A21" s="1047" t="s">
        <v>545</v>
      </c>
      <c r="B21" s="1048" t="s">
        <v>697</v>
      </c>
      <c r="C21" s="554" t="s">
        <v>621</v>
      </c>
      <c r="D21" s="554" t="s">
        <v>621</v>
      </c>
      <c r="E21" s="554" t="s">
        <v>621</v>
      </c>
      <c r="F21" s="554" t="s">
        <v>621</v>
      </c>
      <c r="G21" s="554" t="s">
        <v>621</v>
      </c>
      <c r="H21" s="555">
        <f t="shared" si="0"/>
        <v>163.26</v>
      </c>
      <c r="I21" s="555">
        <f t="shared" si="0"/>
        <v>163.26</v>
      </c>
      <c r="J21" s="555" t="s">
        <v>621</v>
      </c>
      <c r="K21" s="555">
        <f t="shared" si="0"/>
        <v>164.39</v>
      </c>
      <c r="L21" s="555">
        <f t="shared" si="0"/>
        <v>183.21</v>
      </c>
      <c r="M21" s="554" t="s">
        <v>621</v>
      </c>
      <c r="N21" s="554" t="s">
        <v>621</v>
      </c>
      <c r="O21" s="554" t="s">
        <v>621</v>
      </c>
      <c r="P21" s="555">
        <f t="shared" ref="P21:U21" si="7">P22</f>
        <v>163.26</v>
      </c>
      <c r="Q21" s="555">
        <f t="shared" si="7"/>
        <v>182.73</v>
      </c>
      <c r="R21" s="554">
        <f t="shared" si="7"/>
        <v>187.17</v>
      </c>
      <c r="S21" s="554">
        <f t="shared" si="7"/>
        <v>210.12</v>
      </c>
      <c r="T21" s="555">
        <f t="shared" si="7"/>
        <v>182.73</v>
      </c>
      <c r="U21" s="555">
        <f t="shared" si="7"/>
        <v>210.12</v>
      </c>
      <c r="V21" s="554" t="s">
        <v>621</v>
      </c>
      <c r="W21" s="554" t="s">
        <v>621</v>
      </c>
      <c r="X21" s="554" t="s">
        <v>621</v>
      </c>
      <c r="Y21" s="554" t="s">
        <v>621</v>
      </c>
      <c r="Z21" s="554" t="s">
        <v>621</v>
      </c>
      <c r="AA21" s="554" t="s">
        <v>621</v>
      </c>
      <c r="AB21" s="554" t="s">
        <v>621</v>
      </c>
      <c r="AC21" s="554" t="s">
        <v>621</v>
      </c>
      <c r="AD21" s="554" t="s">
        <v>621</v>
      </c>
      <c r="AE21" s="554" t="s">
        <v>621</v>
      </c>
      <c r="AF21" s="554" t="s">
        <v>621</v>
      </c>
      <c r="AG21" s="554" t="s">
        <v>621</v>
      </c>
      <c r="AH21" s="554" t="s">
        <v>621</v>
      </c>
      <c r="AI21" s="555">
        <f>AI22</f>
        <v>30.87</v>
      </c>
      <c r="AJ21" s="554" t="s">
        <v>621</v>
      </c>
      <c r="AK21" s="554" t="s">
        <v>621</v>
      </c>
      <c r="AL21" s="555">
        <f t="shared" si="2"/>
        <v>0</v>
      </c>
      <c r="AM21" s="555">
        <f t="shared" si="2"/>
        <v>30.87</v>
      </c>
      <c r="AN21" s="555">
        <f>AN22</f>
        <v>30.87</v>
      </c>
      <c r="AO21" s="554" t="s">
        <v>621</v>
      </c>
      <c r="AP21" s="554" t="s">
        <v>621</v>
      </c>
      <c r="AQ21" s="555">
        <f>AQ22</f>
        <v>0</v>
      </c>
      <c r="AR21" s="555">
        <f>AR22</f>
        <v>30.87</v>
      </c>
      <c r="AS21" s="555">
        <f>AS22</f>
        <v>51.11</v>
      </c>
      <c r="AT21" s="554" t="s">
        <v>621</v>
      </c>
      <c r="AU21" s="554" t="s">
        <v>621</v>
      </c>
      <c r="AV21" s="555">
        <f t="shared" si="4"/>
        <v>0</v>
      </c>
      <c r="AW21" s="555">
        <f t="shared" si="4"/>
        <v>51.11</v>
      </c>
      <c r="AX21" s="555">
        <f>AX22</f>
        <v>59.57</v>
      </c>
      <c r="AY21" s="554" t="s">
        <v>621</v>
      </c>
      <c r="AZ21" s="554" t="s">
        <v>621</v>
      </c>
      <c r="BA21" s="555">
        <f>BA22</f>
        <v>0</v>
      </c>
      <c r="BB21" s="555">
        <f>BB22</f>
        <v>59.57</v>
      </c>
      <c r="BC21" s="555">
        <f>BC22</f>
        <v>12.86</v>
      </c>
      <c r="BD21" s="554" t="s">
        <v>621</v>
      </c>
      <c r="BE21" s="554" t="s">
        <v>621</v>
      </c>
      <c r="BF21" s="555">
        <f t="shared" si="5"/>
        <v>0</v>
      </c>
      <c r="BG21" s="555">
        <f t="shared" si="5"/>
        <v>12.86</v>
      </c>
      <c r="BH21" s="555">
        <f>BH22</f>
        <v>25.38</v>
      </c>
      <c r="BI21" s="554" t="s">
        <v>621</v>
      </c>
      <c r="BJ21" s="554" t="s">
        <v>621</v>
      </c>
      <c r="BK21" s="555">
        <f>BK22</f>
        <v>0</v>
      </c>
      <c r="BL21" s="555">
        <f>BL22</f>
        <v>25.38</v>
      </c>
      <c r="BM21" s="555">
        <f>BM22</f>
        <v>56.63</v>
      </c>
      <c r="BN21" s="554" t="s">
        <v>621</v>
      </c>
      <c r="BO21" s="554" t="s">
        <v>621</v>
      </c>
      <c r="BP21" s="555">
        <f>BP22</f>
        <v>0</v>
      </c>
      <c r="BQ21" s="555">
        <f>BQ22</f>
        <v>56.63</v>
      </c>
      <c r="BR21" s="555">
        <f>BR22</f>
        <v>60.38</v>
      </c>
      <c r="BS21" s="554" t="s">
        <v>621</v>
      </c>
      <c r="BT21" s="554" t="s">
        <v>621</v>
      </c>
      <c r="BU21" s="555">
        <f>BU22</f>
        <v>0</v>
      </c>
      <c r="BV21" s="555">
        <f>BV22</f>
        <v>60.38</v>
      </c>
      <c r="BW21" s="555">
        <f>BW22</f>
        <v>33.92</v>
      </c>
      <c r="BX21" s="554" t="s">
        <v>621</v>
      </c>
      <c r="BY21" s="554" t="s">
        <v>621</v>
      </c>
      <c r="BZ21" s="555">
        <f>BZ22</f>
        <v>0</v>
      </c>
      <c r="CA21" s="555">
        <f>CA22</f>
        <v>33.92</v>
      </c>
      <c r="CB21" s="555">
        <f>CB22</f>
        <v>33.92</v>
      </c>
      <c r="CC21" s="554" t="s">
        <v>621</v>
      </c>
      <c r="CD21" s="554" t="s">
        <v>621</v>
      </c>
      <c r="CE21" s="555">
        <f>CE22</f>
        <v>0</v>
      </c>
      <c r="CF21" s="555">
        <f>CF22</f>
        <v>33.92</v>
      </c>
      <c r="CG21" s="555">
        <v>182.73</v>
      </c>
      <c r="CH21" s="554" t="s">
        <v>621</v>
      </c>
      <c r="CI21" s="554" t="s">
        <v>621</v>
      </c>
      <c r="CJ21" s="555">
        <f>CJ22</f>
        <v>0</v>
      </c>
      <c r="CK21" s="555">
        <v>182.73</v>
      </c>
      <c r="CL21" s="555">
        <f>CL22</f>
        <v>210.12</v>
      </c>
      <c r="CM21" s="554" t="s">
        <v>621</v>
      </c>
      <c r="CN21" s="554" t="s">
        <v>621</v>
      </c>
      <c r="CO21" s="555">
        <f>CO22</f>
        <v>0</v>
      </c>
      <c r="CP21" s="555">
        <f>CP22</f>
        <v>210.12</v>
      </c>
      <c r="CQ21" s="554"/>
      <c r="CS21" s="561"/>
      <c r="CT21" s="561"/>
    </row>
    <row r="22" spans="1:98" s="457" customFormat="1" ht="73.5" customHeight="1" x14ac:dyDescent="0.45">
      <c r="A22" s="1047" t="s">
        <v>595</v>
      </c>
      <c r="B22" s="1048" t="s">
        <v>746</v>
      </c>
      <c r="C22" s="554" t="s">
        <v>621</v>
      </c>
      <c r="D22" s="554" t="s">
        <v>621</v>
      </c>
      <c r="E22" s="554" t="s">
        <v>621</v>
      </c>
      <c r="F22" s="554" t="s">
        <v>621</v>
      </c>
      <c r="G22" s="554" t="s">
        <v>621</v>
      </c>
      <c r="H22" s="555">
        <f>SUM(H23:H34)</f>
        <v>163.26</v>
      </c>
      <c r="I22" s="555">
        <f>SUM(I23:I34)</f>
        <v>163.26</v>
      </c>
      <c r="J22" s="555" t="s">
        <v>621</v>
      </c>
      <c r="K22" s="555">
        <f>SUM(K23:K46)</f>
        <v>164.39</v>
      </c>
      <c r="L22" s="555">
        <f>SUM(L23:L47)</f>
        <v>183.21</v>
      </c>
      <c r="M22" s="554" t="s">
        <v>621</v>
      </c>
      <c r="N22" s="554" t="s">
        <v>621</v>
      </c>
      <c r="O22" s="554" t="s">
        <v>621</v>
      </c>
      <c r="P22" s="555">
        <f>SUM(P23:P34)</f>
        <v>163.26</v>
      </c>
      <c r="Q22" s="555">
        <f>SUM(Q23:Q34)</f>
        <v>182.73</v>
      </c>
      <c r="R22" s="555">
        <f>SUM(R23:R47)</f>
        <v>187.17</v>
      </c>
      <c r="S22" s="555">
        <f>SUM(S23:S47)</f>
        <v>210.12</v>
      </c>
      <c r="T22" s="555">
        <f>SUM(T23:T47)</f>
        <v>182.73</v>
      </c>
      <c r="U22" s="555">
        <f>SUM(U23:U47)</f>
        <v>210.12</v>
      </c>
      <c r="V22" s="554" t="s">
        <v>621</v>
      </c>
      <c r="W22" s="554" t="s">
        <v>621</v>
      </c>
      <c r="X22" s="554" t="s">
        <v>621</v>
      </c>
      <c r="Y22" s="554" t="s">
        <v>621</v>
      </c>
      <c r="Z22" s="554" t="s">
        <v>621</v>
      </c>
      <c r="AA22" s="554" t="s">
        <v>621</v>
      </c>
      <c r="AB22" s="554" t="s">
        <v>621</v>
      </c>
      <c r="AC22" s="554" t="s">
        <v>621</v>
      </c>
      <c r="AD22" s="554" t="s">
        <v>621</v>
      </c>
      <c r="AE22" s="554" t="s">
        <v>621</v>
      </c>
      <c r="AF22" s="554" t="s">
        <v>621</v>
      </c>
      <c r="AG22" s="554" t="s">
        <v>621</v>
      </c>
      <c r="AH22" s="554" t="s">
        <v>621</v>
      </c>
      <c r="AI22" s="555">
        <f>SUM(AI23:AI34)</f>
        <v>30.87</v>
      </c>
      <c r="AJ22" s="554" t="s">
        <v>621</v>
      </c>
      <c r="AK22" s="554" t="s">
        <v>621</v>
      </c>
      <c r="AL22" s="555">
        <f>SUM(AL23:AL34)</f>
        <v>0</v>
      </c>
      <c r="AM22" s="555">
        <f>SUM(AM23:AM34)</f>
        <v>30.87</v>
      </c>
      <c r="AN22" s="555">
        <f>SUM(AN23:AN34)</f>
        <v>30.87</v>
      </c>
      <c r="AO22" s="554" t="s">
        <v>621</v>
      </c>
      <c r="AP22" s="554" t="s">
        <v>621</v>
      </c>
      <c r="AQ22" s="555">
        <f>SUM(AQ23:AQ34)</f>
        <v>0</v>
      </c>
      <c r="AR22" s="555">
        <f>SUM(AR23:AR34)</f>
        <v>30.87</v>
      </c>
      <c r="AS22" s="555">
        <f>SUM(AS23:AS34)</f>
        <v>51.11</v>
      </c>
      <c r="AT22" s="554" t="s">
        <v>621</v>
      </c>
      <c r="AU22" s="554" t="s">
        <v>621</v>
      </c>
      <c r="AV22" s="555">
        <f>SUM(AV23:AV34)</f>
        <v>0</v>
      </c>
      <c r="AW22" s="555">
        <f>SUM(AW23:AW34)</f>
        <v>51.11</v>
      </c>
      <c r="AX22" s="555">
        <f>SUM(AX23:AX46)</f>
        <v>59.57</v>
      </c>
      <c r="AY22" s="554" t="s">
        <v>621</v>
      </c>
      <c r="AZ22" s="554" t="s">
        <v>621</v>
      </c>
      <c r="BA22" s="555">
        <f>SUM(BA23:BA34)</f>
        <v>0</v>
      </c>
      <c r="BB22" s="555">
        <f>BB26+BB27+BB35+BB36+BB37+BB38+BB39+BB40+BB41+BB42+BB43+BB44+BB45+BB46</f>
        <v>59.57</v>
      </c>
      <c r="BC22" s="555">
        <f>SUM(BC23:BC34)</f>
        <v>12.86</v>
      </c>
      <c r="BD22" s="554" t="s">
        <v>621</v>
      </c>
      <c r="BE22" s="554" t="s">
        <v>621</v>
      </c>
      <c r="BF22" s="555">
        <f>SUM(BF23:BF34)</f>
        <v>0</v>
      </c>
      <c r="BG22" s="555">
        <f>SUM(BG23:BG34)</f>
        <v>12.86</v>
      </c>
      <c r="BH22" s="555">
        <f>BL22</f>
        <v>25.38</v>
      </c>
      <c r="BI22" s="554" t="s">
        <v>621</v>
      </c>
      <c r="BJ22" s="554" t="s">
        <v>621</v>
      </c>
      <c r="BK22" s="555">
        <f>SUM(BK23:BK34)</f>
        <v>0</v>
      </c>
      <c r="BL22" s="555">
        <f>SUM(BL23:BL47)</f>
        <v>25.38</v>
      </c>
      <c r="BM22" s="555">
        <f>SUM(BM23:BM34)</f>
        <v>56.63</v>
      </c>
      <c r="BN22" s="554" t="s">
        <v>621</v>
      </c>
      <c r="BO22" s="554" t="s">
        <v>621</v>
      </c>
      <c r="BP22" s="555">
        <f>SUM(BP23:BP34)</f>
        <v>0</v>
      </c>
      <c r="BQ22" s="555">
        <f>SUM(BQ23:BQ34)</f>
        <v>56.63</v>
      </c>
      <c r="BR22" s="555">
        <f>SUM(BR23:BR34)</f>
        <v>60.38</v>
      </c>
      <c r="BS22" s="554" t="s">
        <v>621</v>
      </c>
      <c r="BT22" s="554" t="s">
        <v>621</v>
      </c>
      <c r="BU22" s="555">
        <f>SUM(BU23:BU34)</f>
        <v>0</v>
      </c>
      <c r="BV22" s="555">
        <f>SUM(BV23:BV34)</f>
        <v>60.38</v>
      </c>
      <c r="BW22" s="555">
        <f>SUM(BW23:BW34)</f>
        <v>33.92</v>
      </c>
      <c r="BX22" s="554" t="s">
        <v>621</v>
      </c>
      <c r="BY22" s="554" t="s">
        <v>621</v>
      </c>
      <c r="BZ22" s="555">
        <f>SUM(BZ23:BZ34)</f>
        <v>0</v>
      </c>
      <c r="CA22" s="555">
        <f>SUM(CA23:CA34)</f>
        <v>33.92</v>
      </c>
      <c r="CB22" s="555">
        <f>SUM(CB23:CB34)</f>
        <v>33.92</v>
      </c>
      <c r="CC22" s="554" t="s">
        <v>621</v>
      </c>
      <c r="CD22" s="554" t="s">
        <v>621</v>
      </c>
      <c r="CE22" s="555">
        <f>SUM(CE23:CE34)</f>
        <v>0</v>
      </c>
      <c r="CF22" s="555">
        <f>SUM(CF23:CF34)</f>
        <v>33.92</v>
      </c>
      <c r="CG22" s="555">
        <f>SUM(CG23:CG46)</f>
        <v>182.73</v>
      </c>
      <c r="CH22" s="555">
        <f>SUM(CH23:CH46)</f>
        <v>0</v>
      </c>
      <c r="CI22" s="555">
        <f>SUM(CI23:CI46)</f>
        <v>0</v>
      </c>
      <c r="CJ22" s="555">
        <f>SUM(CJ23:CJ46)</f>
        <v>0</v>
      </c>
      <c r="CK22" s="555">
        <f>SUM(CK23:CK46)</f>
        <v>182.73</v>
      </c>
      <c r="CL22" s="555">
        <f>SUM(CL23:CL47)</f>
        <v>210.12</v>
      </c>
      <c r="CM22" s="555">
        <f>SUM(CM23:CM47)</f>
        <v>0</v>
      </c>
      <c r="CN22" s="555">
        <f>SUM(CN23:CN47)</f>
        <v>0</v>
      </c>
      <c r="CO22" s="555">
        <f>SUM(CO23:CO47)</f>
        <v>0</v>
      </c>
      <c r="CP22" s="555">
        <f>SUM(CP23:CP47)</f>
        <v>210.12</v>
      </c>
      <c r="CQ22" s="554"/>
      <c r="CS22" s="561"/>
      <c r="CT22" s="561"/>
    </row>
    <row r="23" spans="1:98" s="466" customFormat="1" ht="75" customHeight="1" x14ac:dyDescent="0.5">
      <c r="A23" s="462" t="s">
        <v>814</v>
      </c>
      <c r="B23" s="470" t="s">
        <v>815</v>
      </c>
      <c r="C23" s="460" t="str">
        <f>CONCATENATE("J","_",E23,"_",A23)</f>
        <v>J_2020_1.2.2.1.1</v>
      </c>
      <c r="D23" s="460" t="s">
        <v>823</v>
      </c>
      <c r="E23" s="460">
        <v>2020</v>
      </c>
      <c r="F23" s="460">
        <v>2020</v>
      </c>
      <c r="G23" s="460" t="s">
        <v>621</v>
      </c>
      <c r="H23" s="461">
        <v>8.4</v>
      </c>
      <c r="I23" s="461">
        <f t="shared" ref="I23:I46" si="8">H23</f>
        <v>8.4</v>
      </c>
      <c r="J23" s="471">
        <v>43497</v>
      </c>
      <c r="K23" s="461">
        <f>H23</f>
        <v>8.4</v>
      </c>
      <c r="L23" s="461">
        <f>I23</f>
        <v>8.4</v>
      </c>
      <c r="M23" s="471">
        <v>43497</v>
      </c>
      <c r="N23" s="460" t="s">
        <v>621</v>
      </c>
      <c r="O23" s="460" t="s">
        <v>621</v>
      </c>
      <c r="P23" s="461">
        <f t="shared" ref="P23:P46" si="9">H23</f>
        <v>8.4</v>
      </c>
      <c r="Q23" s="461">
        <v>8.6999999999999993</v>
      </c>
      <c r="R23" s="461">
        <v>8.4</v>
      </c>
      <c r="S23" s="461">
        <f>U23</f>
        <v>8.6999999999999993</v>
      </c>
      <c r="T23" s="461">
        <f>Q23</f>
        <v>8.6999999999999993</v>
      </c>
      <c r="U23" s="661">
        <v>8.6999999999999993</v>
      </c>
      <c r="V23" s="460" t="s">
        <v>621</v>
      </c>
      <c r="W23" s="460" t="s">
        <v>621</v>
      </c>
      <c r="X23" s="460" t="s">
        <v>621</v>
      </c>
      <c r="Y23" s="460" t="s">
        <v>621</v>
      </c>
      <c r="Z23" s="460" t="s">
        <v>621</v>
      </c>
      <c r="AA23" s="460" t="s">
        <v>621</v>
      </c>
      <c r="AB23" s="460" t="s">
        <v>621</v>
      </c>
      <c r="AC23" s="460" t="s">
        <v>621</v>
      </c>
      <c r="AD23" s="460" t="s">
        <v>621</v>
      </c>
      <c r="AE23" s="460" t="s">
        <v>621</v>
      </c>
      <c r="AF23" s="460" t="s">
        <v>621</v>
      </c>
      <c r="AG23" s="460" t="s">
        <v>621</v>
      </c>
      <c r="AH23" s="460" t="s">
        <v>621</v>
      </c>
      <c r="AI23" s="461">
        <f>Q23</f>
        <v>8.6999999999999993</v>
      </c>
      <c r="AJ23" s="460" t="s">
        <v>621</v>
      </c>
      <c r="AK23" s="460" t="s">
        <v>621</v>
      </c>
      <c r="AL23" s="461">
        <v>0</v>
      </c>
      <c r="AM23" s="461">
        <f>AI23</f>
        <v>8.6999999999999993</v>
      </c>
      <c r="AN23" s="461">
        <f>AI23</f>
        <v>8.6999999999999993</v>
      </c>
      <c r="AO23" s="460" t="s">
        <v>621</v>
      </c>
      <c r="AP23" s="460" t="s">
        <v>621</v>
      </c>
      <c r="AQ23" s="460">
        <v>0</v>
      </c>
      <c r="AR23" s="461">
        <f>AM23</f>
        <v>8.6999999999999993</v>
      </c>
      <c r="AS23" s="460">
        <v>0</v>
      </c>
      <c r="AT23" s="460" t="s">
        <v>621</v>
      </c>
      <c r="AU23" s="460" t="s">
        <v>621</v>
      </c>
      <c r="AV23" s="460">
        <v>0</v>
      </c>
      <c r="AW23" s="460">
        <v>0</v>
      </c>
      <c r="AX23" s="460">
        <v>0</v>
      </c>
      <c r="AY23" s="460" t="s">
        <v>621</v>
      </c>
      <c r="AZ23" s="460" t="s">
        <v>621</v>
      </c>
      <c r="BA23" s="460" t="s">
        <v>621</v>
      </c>
      <c r="BB23" s="460">
        <v>0</v>
      </c>
      <c r="BC23" s="460" t="str">
        <f t="shared" ref="BC23:BC28" si="10">BH23</f>
        <v>нд</v>
      </c>
      <c r="BD23" s="460" t="s">
        <v>621</v>
      </c>
      <c r="BE23" s="460" t="s">
        <v>621</v>
      </c>
      <c r="BF23" s="460">
        <v>0</v>
      </c>
      <c r="BG23" s="460">
        <v>0</v>
      </c>
      <c r="BH23" s="460" t="s">
        <v>621</v>
      </c>
      <c r="BI23" s="460" t="s">
        <v>621</v>
      </c>
      <c r="BJ23" s="460" t="s">
        <v>621</v>
      </c>
      <c r="BK23" s="460" t="s">
        <v>621</v>
      </c>
      <c r="BL23" s="460" t="s">
        <v>621</v>
      </c>
      <c r="BM23" s="460">
        <v>0</v>
      </c>
      <c r="BN23" s="460" t="s">
        <v>621</v>
      </c>
      <c r="BO23" s="460" t="s">
        <v>621</v>
      </c>
      <c r="BP23" s="460">
        <v>0</v>
      </c>
      <c r="BQ23" s="460">
        <v>0</v>
      </c>
      <c r="BR23" s="460" t="s">
        <v>621</v>
      </c>
      <c r="BS23" s="460" t="s">
        <v>621</v>
      </c>
      <c r="BT23" s="460" t="s">
        <v>621</v>
      </c>
      <c r="BU23" s="460" t="s">
        <v>621</v>
      </c>
      <c r="BV23" s="460" t="s">
        <v>621</v>
      </c>
      <c r="BW23" s="460">
        <v>0</v>
      </c>
      <c r="BX23" s="460" t="s">
        <v>621</v>
      </c>
      <c r="BY23" s="460" t="s">
        <v>621</v>
      </c>
      <c r="BZ23" s="460">
        <v>0</v>
      </c>
      <c r="CA23" s="460">
        <v>0</v>
      </c>
      <c r="CB23" s="460" t="s">
        <v>621</v>
      </c>
      <c r="CC23" s="460" t="s">
        <v>621</v>
      </c>
      <c r="CD23" s="460" t="s">
        <v>621</v>
      </c>
      <c r="CE23" s="460" t="s">
        <v>621</v>
      </c>
      <c r="CF23" s="460" t="s">
        <v>621</v>
      </c>
      <c r="CG23" s="461">
        <f>AI23</f>
        <v>8.6999999999999993</v>
      </c>
      <c r="CH23" s="460" t="s">
        <v>621</v>
      </c>
      <c r="CI23" s="460" t="s">
        <v>621</v>
      </c>
      <c r="CJ23" s="461">
        <f>AL23</f>
        <v>0</v>
      </c>
      <c r="CK23" s="461">
        <f>Q23</f>
        <v>8.6999999999999993</v>
      </c>
      <c r="CL23" s="461">
        <f>CP23</f>
        <v>8.6999999999999993</v>
      </c>
      <c r="CM23" s="460" t="s">
        <v>621</v>
      </c>
      <c r="CN23" s="460" t="s">
        <v>621</v>
      </c>
      <c r="CO23" s="461">
        <f>CJ23</f>
        <v>0</v>
      </c>
      <c r="CP23" s="461">
        <f>U23</f>
        <v>8.6999999999999993</v>
      </c>
      <c r="CQ23" s="460"/>
      <c r="CR23" s="253"/>
      <c r="CS23" s="561"/>
      <c r="CT23" s="563"/>
    </row>
    <row r="24" spans="1:98" s="466" customFormat="1" ht="79.5" customHeight="1" x14ac:dyDescent="0.5">
      <c r="A24" s="462" t="s">
        <v>813</v>
      </c>
      <c r="B24" s="470" t="s">
        <v>859</v>
      </c>
      <c r="C24" s="460" t="str">
        <f t="shared" ref="C24:C47" si="11">CONCATENATE("J","_",E24,"_",A24)</f>
        <v>J_2020_1.2.2.1.2</v>
      </c>
      <c r="D24" s="460" t="s">
        <v>823</v>
      </c>
      <c r="E24" s="460">
        <v>2020</v>
      </c>
      <c r="F24" s="460">
        <v>2020</v>
      </c>
      <c r="G24" s="460" t="s">
        <v>621</v>
      </c>
      <c r="H24" s="461">
        <v>3.4</v>
      </c>
      <c r="I24" s="461">
        <f t="shared" si="8"/>
        <v>3.4</v>
      </c>
      <c r="J24" s="471">
        <v>43497</v>
      </c>
      <c r="K24" s="461">
        <f>H24</f>
        <v>3.4</v>
      </c>
      <c r="L24" s="461">
        <f>I24</f>
        <v>3.4</v>
      </c>
      <c r="M24" s="471">
        <v>43497</v>
      </c>
      <c r="N24" s="460" t="s">
        <v>621</v>
      </c>
      <c r="O24" s="460" t="s">
        <v>621</v>
      </c>
      <c r="P24" s="461">
        <f t="shared" si="9"/>
        <v>3.4</v>
      </c>
      <c r="Q24" s="461">
        <v>3.52</v>
      </c>
      <c r="R24" s="461">
        <f>P24</f>
        <v>3.4</v>
      </c>
      <c r="S24" s="461">
        <f t="shared" ref="S24:S46" si="12">U24</f>
        <v>3.52</v>
      </c>
      <c r="T24" s="461">
        <f t="shared" ref="T24:T32" si="13">Q24</f>
        <v>3.52</v>
      </c>
      <c r="U24" s="661">
        <v>3.52</v>
      </c>
      <c r="V24" s="460" t="s">
        <v>621</v>
      </c>
      <c r="W24" s="460" t="s">
        <v>621</v>
      </c>
      <c r="X24" s="460" t="s">
        <v>621</v>
      </c>
      <c r="Y24" s="460" t="s">
        <v>621</v>
      </c>
      <c r="Z24" s="460" t="s">
        <v>621</v>
      </c>
      <c r="AA24" s="460" t="s">
        <v>621</v>
      </c>
      <c r="AB24" s="460" t="s">
        <v>621</v>
      </c>
      <c r="AC24" s="460" t="s">
        <v>621</v>
      </c>
      <c r="AD24" s="460" t="s">
        <v>621</v>
      </c>
      <c r="AE24" s="460" t="s">
        <v>621</v>
      </c>
      <c r="AF24" s="460" t="s">
        <v>621</v>
      </c>
      <c r="AG24" s="460" t="s">
        <v>621</v>
      </c>
      <c r="AH24" s="460" t="s">
        <v>621</v>
      </c>
      <c r="AI24" s="461">
        <f>Q24</f>
        <v>3.52</v>
      </c>
      <c r="AJ24" s="460" t="s">
        <v>621</v>
      </c>
      <c r="AK24" s="460" t="s">
        <v>621</v>
      </c>
      <c r="AL24" s="461">
        <v>0</v>
      </c>
      <c r="AM24" s="461">
        <f>AI24</f>
        <v>3.52</v>
      </c>
      <c r="AN24" s="461">
        <f>AI24</f>
        <v>3.52</v>
      </c>
      <c r="AO24" s="460" t="s">
        <v>621</v>
      </c>
      <c r="AP24" s="460" t="s">
        <v>621</v>
      </c>
      <c r="AQ24" s="460">
        <v>0</v>
      </c>
      <c r="AR24" s="461">
        <f>AM24</f>
        <v>3.52</v>
      </c>
      <c r="AS24" s="460">
        <v>0</v>
      </c>
      <c r="AT24" s="460" t="s">
        <v>621</v>
      </c>
      <c r="AU24" s="460" t="s">
        <v>621</v>
      </c>
      <c r="AV24" s="460">
        <v>0</v>
      </c>
      <c r="AW24" s="460">
        <v>0</v>
      </c>
      <c r="AX24" s="460">
        <v>0</v>
      </c>
      <c r="AY24" s="460" t="s">
        <v>621</v>
      </c>
      <c r="AZ24" s="460" t="s">
        <v>621</v>
      </c>
      <c r="BA24" s="460" t="s">
        <v>621</v>
      </c>
      <c r="BB24" s="460">
        <v>0</v>
      </c>
      <c r="BC24" s="460" t="str">
        <f t="shared" si="10"/>
        <v>нд</v>
      </c>
      <c r="BD24" s="460" t="s">
        <v>621</v>
      </c>
      <c r="BE24" s="460" t="s">
        <v>621</v>
      </c>
      <c r="BF24" s="460">
        <v>0</v>
      </c>
      <c r="BG24" s="460">
        <v>0</v>
      </c>
      <c r="BH24" s="460" t="s">
        <v>621</v>
      </c>
      <c r="BI24" s="460" t="s">
        <v>621</v>
      </c>
      <c r="BJ24" s="460" t="s">
        <v>621</v>
      </c>
      <c r="BK24" s="460" t="s">
        <v>621</v>
      </c>
      <c r="BL24" s="460" t="s">
        <v>621</v>
      </c>
      <c r="BM24" s="460">
        <v>0</v>
      </c>
      <c r="BN24" s="460" t="s">
        <v>621</v>
      </c>
      <c r="BO24" s="460" t="s">
        <v>621</v>
      </c>
      <c r="BP24" s="460">
        <v>0</v>
      </c>
      <c r="BQ24" s="460">
        <v>0</v>
      </c>
      <c r="BR24" s="460" t="s">
        <v>621</v>
      </c>
      <c r="BS24" s="460" t="s">
        <v>621</v>
      </c>
      <c r="BT24" s="460" t="s">
        <v>621</v>
      </c>
      <c r="BU24" s="460" t="s">
        <v>621</v>
      </c>
      <c r="BV24" s="460" t="s">
        <v>621</v>
      </c>
      <c r="BW24" s="460">
        <v>0</v>
      </c>
      <c r="BX24" s="460" t="s">
        <v>621</v>
      </c>
      <c r="BY24" s="460" t="s">
        <v>621</v>
      </c>
      <c r="BZ24" s="460">
        <v>0</v>
      </c>
      <c r="CA24" s="460">
        <v>0</v>
      </c>
      <c r="CB24" s="460" t="s">
        <v>621</v>
      </c>
      <c r="CC24" s="460" t="s">
        <v>621</v>
      </c>
      <c r="CD24" s="460" t="s">
        <v>621</v>
      </c>
      <c r="CE24" s="460" t="s">
        <v>621</v>
      </c>
      <c r="CF24" s="460" t="s">
        <v>621</v>
      </c>
      <c r="CG24" s="461">
        <f>AI24</f>
        <v>3.52</v>
      </c>
      <c r="CH24" s="460" t="s">
        <v>621</v>
      </c>
      <c r="CI24" s="460" t="s">
        <v>621</v>
      </c>
      <c r="CJ24" s="461">
        <f>AL24</f>
        <v>0</v>
      </c>
      <c r="CK24" s="461">
        <f t="shared" ref="CK24:CK47" si="14">Q24</f>
        <v>3.52</v>
      </c>
      <c r="CL24" s="461">
        <f t="shared" ref="CL24:CL47" si="15">CP24</f>
        <v>3.52</v>
      </c>
      <c r="CM24" s="460" t="s">
        <v>621</v>
      </c>
      <c r="CN24" s="460" t="s">
        <v>621</v>
      </c>
      <c r="CO24" s="461">
        <f t="shared" ref="CO24:CO46" si="16">CJ24</f>
        <v>0</v>
      </c>
      <c r="CP24" s="461">
        <f t="shared" ref="CP24:CP47" si="17">U24</f>
        <v>3.52</v>
      </c>
      <c r="CQ24" s="460"/>
      <c r="CR24" s="253"/>
      <c r="CS24" s="561"/>
      <c r="CT24" s="563"/>
    </row>
    <row r="25" spans="1:98" s="466" customFormat="1" ht="149.25" customHeight="1" x14ac:dyDescent="0.5">
      <c r="A25" s="462" t="s">
        <v>817</v>
      </c>
      <c r="B25" s="470" t="s">
        <v>934</v>
      </c>
      <c r="C25" s="460" t="str">
        <f t="shared" si="11"/>
        <v>J_2020_1.2.2.1.3</v>
      </c>
      <c r="D25" s="460" t="s">
        <v>823</v>
      </c>
      <c r="E25" s="460">
        <v>2020</v>
      </c>
      <c r="F25" s="460">
        <v>2020</v>
      </c>
      <c r="G25" s="460" t="s">
        <v>621</v>
      </c>
      <c r="H25" s="461">
        <v>17.3</v>
      </c>
      <c r="I25" s="461">
        <f t="shared" si="8"/>
        <v>17.3</v>
      </c>
      <c r="J25" s="471">
        <v>43709</v>
      </c>
      <c r="K25" s="461">
        <v>18</v>
      </c>
      <c r="L25" s="461">
        <f>K25</f>
        <v>18</v>
      </c>
      <c r="M25" s="1052">
        <v>43800</v>
      </c>
      <c r="N25" s="460" t="s">
        <v>621</v>
      </c>
      <c r="O25" s="460" t="s">
        <v>621</v>
      </c>
      <c r="P25" s="461">
        <f>H25</f>
        <v>17.3</v>
      </c>
      <c r="Q25" s="461">
        <v>18.649999999999999</v>
      </c>
      <c r="R25" s="461">
        <f>P25</f>
        <v>17.3</v>
      </c>
      <c r="S25" s="461">
        <v>18.649999999999999</v>
      </c>
      <c r="T25" s="461">
        <v>18.649999999999999</v>
      </c>
      <c r="U25" s="661">
        <v>18.649999999999999</v>
      </c>
      <c r="V25" s="460" t="s">
        <v>621</v>
      </c>
      <c r="W25" s="460" t="s">
        <v>621</v>
      </c>
      <c r="X25" s="460" t="s">
        <v>621</v>
      </c>
      <c r="Y25" s="460" t="s">
        <v>621</v>
      </c>
      <c r="Z25" s="460" t="s">
        <v>621</v>
      </c>
      <c r="AA25" s="460" t="s">
        <v>621</v>
      </c>
      <c r="AB25" s="460" t="s">
        <v>621</v>
      </c>
      <c r="AC25" s="460" t="s">
        <v>621</v>
      </c>
      <c r="AD25" s="460" t="s">
        <v>621</v>
      </c>
      <c r="AE25" s="460" t="s">
        <v>621</v>
      </c>
      <c r="AF25" s="460" t="s">
        <v>621</v>
      </c>
      <c r="AG25" s="460" t="s">
        <v>621</v>
      </c>
      <c r="AH25" s="460" t="s">
        <v>621</v>
      </c>
      <c r="AI25" s="461">
        <f>Q25</f>
        <v>18.649999999999999</v>
      </c>
      <c r="AJ25" s="460" t="s">
        <v>621</v>
      </c>
      <c r="AK25" s="460" t="s">
        <v>621</v>
      </c>
      <c r="AL25" s="461">
        <v>0</v>
      </c>
      <c r="AM25" s="461">
        <f>AI25</f>
        <v>18.649999999999999</v>
      </c>
      <c r="AN25" s="461">
        <f>U25</f>
        <v>18.649999999999999</v>
      </c>
      <c r="AO25" s="460" t="s">
        <v>621</v>
      </c>
      <c r="AP25" s="460" t="s">
        <v>621</v>
      </c>
      <c r="AQ25" s="460">
        <v>0</v>
      </c>
      <c r="AR25" s="461">
        <f>AN25</f>
        <v>18.649999999999999</v>
      </c>
      <c r="AS25" s="460">
        <v>0</v>
      </c>
      <c r="AT25" s="460" t="s">
        <v>621</v>
      </c>
      <c r="AU25" s="460" t="s">
        <v>621</v>
      </c>
      <c r="AV25" s="460">
        <v>0</v>
      </c>
      <c r="AW25" s="460">
        <v>0</v>
      </c>
      <c r="AX25" s="460">
        <v>0</v>
      </c>
      <c r="AY25" s="460" t="s">
        <v>621</v>
      </c>
      <c r="AZ25" s="460" t="s">
        <v>621</v>
      </c>
      <c r="BA25" s="460" t="s">
        <v>621</v>
      </c>
      <c r="BB25" s="460">
        <v>0</v>
      </c>
      <c r="BC25" s="460" t="str">
        <f t="shared" si="10"/>
        <v>нд</v>
      </c>
      <c r="BD25" s="460" t="s">
        <v>621</v>
      </c>
      <c r="BE25" s="460" t="s">
        <v>621</v>
      </c>
      <c r="BF25" s="460">
        <v>0</v>
      </c>
      <c r="BG25" s="460">
        <v>0</v>
      </c>
      <c r="BH25" s="460" t="s">
        <v>621</v>
      </c>
      <c r="BI25" s="460" t="s">
        <v>621</v>
      </c>
      <c r="BJ25" s="460" t="s">
        <v>621</v>
      </c>
      <c r="BK25" s="460" t="s">
        <v>621</v>
      </c>
      <c r="BL25" s="460" t="s">
        <v>621</v>
      </c>
      <c r="BM25" s="460">
        <v>0</v>
      </c>
      <c r="BN25" s="460" t="s">
        <v>621</v>
      </c>
      <c r="BO25" s="460" t="s">
        <v>621</v>
      </c>
      <c r="BP25" s="460">
        <v>0</v>
      </c>
      <c r="BQ25" s="460">
        <v>0</v>
      </c>
      <c r="BR25" s="460" t="s">
        <v>621</v>
      </c>
      <c r="BS25" s="460" t="s">
        <v>621</v>
      </c>
      <c r="BT25" s="460" t="s">
        <v>621</v>
      </c>
      <c r="BU25" s="460" t="s">
        <v>621</v>
      </c>
      <c r="BV25" s="460" t="s">
        <v>621</v>
      </c>
      <c r="BW25" s="460">
        <v>0</v>
      </c>
      <c r="BX25" s="460" t="s">
        <v>621</v>
      </c>
      <c r="BY25" s="460" t="s">
        <v>621</v>
      </c>
      <c r="BZ25" s="460">
        <v>0</v>
      </c>
      <c r="CA25" s="460">
        <v>0</v>
      </c>
      <c r="CB25" s="460" t="s">
        <v>621</v>
      </c>
      <c r="CC25" s="460" t="s">
        <v>621</v>
      </c>
      <c r="CD25" s="460" t="s">
        <v>621</v>
      </c>
      <c r="CE25" s="460" t="s">
        <v>621</v>
      </c>
      <c r="CF25" s="460" t="s">
        <v>621</v>
      </c>
      <c r="CG25" s="461">
        <v>18.649999999999999</v>
      </c>
      <c r="CH25" s="460" t="s">
        <v>621</v>
      </c>
      <c r="CI25" s="460" t="s">
        <v>621</v>
      </c>
      <c r="CJ25" s="461">
        <v>0</v>
      </c>
      <c r="CK25" s="461">
        <f t="shared" si="14"/>
        <v>18.649999999999999</v>
      </c>
      <c r="CL25" s="461">
        <f t="shared" si="15"/>
        <v>18.649999999999999</v>
      </c>
      <c r="CM25" s="460" t="s">
        <v>621</v>
      </c>
      <c r="CN25" s="460" t="s">
        <v>621</v>
      </c>
      <c r="CO25" s="461">
        <f t="shared" si="16"/>
        <v>0</v>
      </c>
      <c r="CP25" s="461">
        <f t="shared" si="17"/>
        <v>18.649999999999999</v>
      </c>
      <c r="CQ25" s="517"/>
      <c r="CR25" s="253"/>
      <c r="CS25" s="561"/>
      <c r="CT25" s="563"/>
    </row>
    <row r="26" spans="1:98" s="466" customFormat="1" ht="150.75" customHeight="1" x14ac:dyDescent="0.5">
      <c r="A26" s="462" t="s">
        <v>819</v>
      </c>
      <c r="B26" s="470" t="s">
        <v>816</v>
      </c>
      <c r="C26" s="460" t="str">
        <f t="shared" si="11"/>
        <v>J_2021_1.2.2.1.4</v>
      </c>
      <c r="D26" s="460" t="s">
        <v>823</v>
      </c>
      <c r="E26" s="460">
        <v>2021</v>
      </c>
      <c r="F26" s="460">
        <v>2021</v>
      </c>
      <c r="G26" s="460" t="s">
        <v>621</v>
      </c>
      <c r="H26" s="461">
        <v>10.3</v>
      </c>
      <c r="I26" s="461">
        <f t="shared" si="8"/>
        <v>10.3</v>
      </c>
      <c r="J26" s="471">
        <v>43497</v>
      </c>
      <c r="K26" s="461">
        <v>15.32</v>
      </c>
      <c r="L26" s="461">
        <f>15.32</f>
        <v>15.32</v>
      </c>
      <c r="M26" s="471">
        <v>44317</v>
      </c>
      <c r="N26" s="460" t="s">
        <v>621</v>
      </c>
      <c r="O26" s="460" t="s">
        <v>621</v>
      </c>
      <c r="P26" s="461">
        <f t="shared" si="9"/>
        <v>10.3</v>
      </c>
      <c r="Q26" s="461">
        <v>11.04</v>
      </c>
      <c r="R26" s="461">
        <v>15.32</v>
      </c>
      <c r="S26" s="461">
        <f t="shared" si="12"/>
        <v>15.32</v>
      </c>
      <c r="T26" s="461">
        <v>11.04</v>
      </c>
      <c r="U26" s="661">
        <v>15.32</v>
      </c>
      <c r="V26" s="460" t="s">
        <v>621</v>
      </c>
      <c r="W26" s="460" t="s">
        <v>621</v>
      </c>
      <c r="X26" s="460" t="s">
        <v>621</v>
      </c>
      <c r="Y26" s="460" t="s">
        <v>621</v>
      </c>
      <c r="Z26" s="460" t="s">
        <v>621</v>
      </c>
      <c r="AA26" s="460" t="s">
        <v>621</v>
      </c>
      <c r="AB26" s="460" t="s">
        <v>621</v>
      </c>
      <c r="AC26" s="460" t="s">
        <v>621</v>
      </c>
      <c r="AD26" s="460" t="s">
        <v>621</v>
      </c>
      <c r="AE26" s="460" t="s">
        <v>621</v>
      </c>
      <c r="AF26" s="460" t="s">
        <v>621</v>
      </c>
      <c r="AG26" s="460" t="s">
        <v>621</v>
      </c>
      <c r="AH26" s="460" t="s">
        <v>621</v>
      </c>
      <c r="AI26" s="460">
        <v>0</v>
      </c>
      <c r="AJ26" s="460" t="s">
        <v>621</v>
      </c>
      <c r="AK26" s="460" t="s">
        <v>621</v>
      </c>
      <c r="AL26" s="460">
        <v>0</v>
      </c>
      <c r="AM26" s="460">
        <v>0</v>
      </c>
      <c r="AN26" s="460">
        <f>AI26</f>
        <v>0</v>
      </c>
      <c r="AO26" s="460" t="s">
        <v>621</v>
      </c>
      <c r="AP26" s="460" t="s">
        <v>621</v>
      </c>
      <c r="AQ26" s="460" t="s">
        <v>621</v>
      </c>
      <c r="AR26" s="460">
        <f>AM26</f>
        <v>0</v>
      </c>
      <c r="AS26" s="461">
        <f>Q26</f>
        <v>11.04</v>
      </c>
      <c r="AT26" s="460" t="s">
        <v>621</v>
      </c>
      <c r="AU26" s="460" t="s">
        <v>621</v>
      </c>
      <c r="AV26" s="461">
        <v>0</v>
      </c>
      <c r="AW26" s="461">
        <f>AS26</f>
        <v>11.04</v>
      </c>
      <c r="AX26" s="461">
        <f>BB26</f>
        <v>15.32</v>
      </c>
      <c r="AY26" s="460" t="s">
        <v>621</v>
      </c>
      <c r="AZ26" s="460" t="s">
        <v>621</v>
      </c>
      <c r="BA26" s="460" t="s">
        <v>621</v>
      </c>
      <c r="BB26" s="461">
        <f>U26</f>
        <v>15.32</v>
      </c>
      <c r="BC26" s="460" t="str">
        <f t="shared" si="10"/>
        <v>нд</v>
      </c>
      <c r="BD26" s="460" t="s">
        <v>621</v>
      </c>
      <c r="BE26" s="460" t="s">
        <v>621</v>
      </c>
      <c r="BF26" s="460">
        <v>0</v>
      </c>
      <c r="BG26" s="460">
        <v>0</v>
      </c>
      <c r="BH26" s="460" t="s">
        <v>621</v>
      </c>
      <c r="BI26" s="460" t="s">
        <v>621</v>
      </c>
      <c r="BJ26" s="460" t="s">
        <v>621</v>
      </c>
      <c r="BK26" s="460" t="s">
        <v>621</v>
      </c>
      <c r="BL26" s="460" t="s">
        <v>621</v>
      </c>
      <c r="BM26" s="460">
        <v>0</v>
      </c>
      <c r="BN26" s="460" t="s">
        <v>621</v>
      </c>
      <c r="BO26" s="460" t="s">
        <v>621</v>
      </c>
      <c r="BP26" s="460">
        <v>0</v>
      </c>
      <c r="BQ26" s="460">
        <v>0</v>
      </c>
      <c r="BR26" s="460" t="s">
        <v>621</v>
      </c>
      <c r="BS26" s="460" t="s">
        <v>621</v>
      </c>
      <c r="BT26" s="460" t="s">
        <v>621</v>
      </c>
      <c r="BU26" s="460" t="s">
        <v>621</v>
      </c>
      <c r="BV26" s="460" t="s">
        <v>621</v>
      </c>
      <c r="BW26" s="460">
        <v>0</v>
      </c>
      <c r="BX26" s="460" t="s">
        <v>621</v>
      </c>
      <c r="BY26" s="460" t="s">
        <v>621</v>
      </c>
      <c r="BZ26" s="460">
        <v>0</v>
      </c>
      <c r="CA26" s="460">
        <v>0</v>
      </c>
      <c r="CB26" s="460" t="s">
        <v>621</v>
      </c>
      <c r="CC26" s="460" t="s">
        <v>621</v>
      </c>
      <c r="CD26" s="460" t="s">
        <v>621</v>
      </c>
      <c r="CE26" s="460" t="s">
        <v>621</v>
      </c>
      <c r="CF26" s="460" t="s">
        <v>621</v>
      </c>
      <c r="CG26" s="461">
        <f>AS26</f>
        <v>11.04</v>
      </c>
      <c r="CH26" s="460" t="s">
        <v>621</v>
      </c>
      <c r="CI26" s="460" t="s">
        <v>621</v>
      </c>
      <c r="CJ26" s="461">
        <f>AV26</f>
        <v>0</v>
      </c>
      <c r="CK26" s="461">
        <f t="shared" si="14"/>
        <v>11.04</v>
      </c>
      <c r="CL26" s="461">
        <f t="shared" si="15"/>
        <v>15.32</v>
      </c>
      <c r="CM26" s="460" t="s">
        <v>621</v>
      </c>
      <c r="CN26" s="460" t="s">
        <v>621</v>
      </c>
      <c r="CO26" s="461">
        <f t="shared" si="16"/>
        <v>0</v>
      </c>
      <c r="CP26" s="461">
        <f t="shared" si="17"/>
        <v>15.32</v>
      </c>
      <c r="CQ26" s="460"/>
      <c r="CR26" s="253"/>
      <c r="CS26" s="561"/>
      <c r="CT26" s="563"/>
    </row>
    <row r="27" spans="1:98" s="466" customFormat="1" ht="153" customHeight="1" x14ac:dyDescent="0.5">
      <c r="A27" s="462" t="s">
        <v>820</v>
      </c>
      <c r="B27" s="470" t="s">
        <v>865</v>
      </c>
      <c r="C27" s="460" t="str">
        <f t="shared" si="11"/>
        <v>J_2021_1.2.2.1.5</v>
      </c>
      <c r="D27" s="460" t="s">
        <v>823</v>
      </c>
      <c r="E27" s="460">
        <v>2021</v>
      </c>
      <c r="F27" s="460">
        <v>2021</v>
      </c>
      <c r="G27" s="460" t="s">
        <v>621</v>
      </c>
      <c r="H27" s="461">
        <v>14</v>
      </c>
      <c r="I27" s="461">
        <f t="shared" si="8"/>
        <v>14</v>
      </c>
      <c r="J27" s="471">
        <v>43497</v>
      </c>
      <c r="K27" s="461">
        <v>24.2</v>
      </c>
      <c r="L27" s="461">
        <v>24.2</v>
      </c>
      <c r="M27" s="471">
        <v>44317</v>
      </c>
      <c r="N27" s="460" t="s">
        <v>621</v>
      </c>
      <c r="O27" s="460" t="s">
        <v>621</v>
      </c>
      <c r="P27" s="461">
        <f t="shared" si="9"/>
        <v>14</v>
      </c>
      <c r="Q27" s="461">
        <v>15.04</v>
      </c>
      <c r="R27" s="461">
        <v>24.2</v>
      </c>
      <c r="S27" s="461">
        <f t="shared" si="12"/>
        <v>24.2</v>
      </c>
      <c r="T27" s="461">
        <f t="shared" si="13"/>
        <v>15.04</v>
      </c>
      <c r="U27" s="661">
        <v>24.2</v>
      </c>
      <c r="V27" s="460" t="s">
        <v>621</v>
      </c>
      <c r="W27" s="460" t="s">
        <v>621</v>
      </c>
      <c r="X27" s="460" t="s">
        <v>621</v>
      </c>
      <c r="Y27" s="460" t="s">
        <v>621</v>
      </c>
      <c r="Z27" s="460" t="s">
        <v>621</v>
      </c>
      <c r="AA27" s="460" t="s">
        <v>621</v>
      </c>
      <c r="AB27" s="460" t="s">
        <v>621</v>
      </c>
      <c r="AC27" s="460" t="s">
        <v>621</v>
      </c>
      <c r="AD27" s="460" t="s">
        <v>621</v>
      </c>
      <c r="AE27" s="460" t="s">
        <v>621</v>
      </c>
      <c r="AF27" s="460" t="s">
        <v>621</v>
      </c>
      <c r="AG27" s="460" t="s">
        <v>621</v>
      </c>
      <c r="AH27" s="460" t="s">
        <v>621</v>
      </c>
      <c r="AI27" s="460">
        <v>0</v>
      </c>
      <c r="AJ27" s="460" t="s">
        <v>621</v>
      </c>
      <c r="AK27" s="460" t="s">
        <v>621</v>
      </c>
      <c r="AL27" s="460">
        <v>0</v>
      </c>
      <c r="AM27" s="460">
        <v>0</v>
      </c>
      <c r="AN27" s="460">
        <f t="shared" ref="AN27:AN35" si="18">AI27</f>
        <v>0</v>
      </c>
      <c r="AO27" s="460" t="s">
        <v>621</v>
      </c>
      <c r="AP27" s="460" t="s">
        <v>621</v>
      </c>
      <c r="AQ27" s="460" t="s">
        <v>621</v>
      </c>
      <c r="AR27" s="460">
        <f t="shared" ref="AR27:AR35" si="19">AM27</f>
        <v>0</v>
      </c>
      <c r="AS27" s="461">
        <f>Q27</f>
        <v>15.04</v>
      </c>
      <c r="AT27" s="460" t="s">
        <v>621</v>
      </c>
      <c r="AU27" s="460" t="s">
        <v>621</v>
      </c>
      <c r="AV27" s="461">
        <v>0</v>
      </c>
      <c r="AW27" s="461">
        <f>AS27</f>
        <v>15.04</v>
      </c>
      <c r="AX27" s="461">
        <f t="shared" ref="AX27:AX46" si="20">BB27</f>
        <v>24.2</v>
      </c>
      <c r="AY27" s="460" t="s">
        <v>621</v>
      </c>
      <c r="AZ27" s="460" t="s">
        <v>621</v>
      </c>
      <c r="BA27" s="460" t="s">
        <v>621</v>
      </c>
      <c r="BB27" s="461">
        <f>U27</f>
        <v>24.2</v>
      </c>
      <c r="BC27" s="460" t="str">
        <f t="shared" si="10"/>
        <v>нд</v>
      </c>
      <c r="BD27" s="460" t="s">
        <v>621</v>
      </c>
      <c r="BE27" s="460" t="s">
        <v>621</v>
      </c>
      <c r="BF27" s="460">
        <v>0</v>
      </c>
      <c r="BG27" s="460">
        <v>0</v>
      </c>
      <c r="BH27" s="460" t="s">
        <v>621</v>
      </c>
      <c r="BI27" s="460" t="s">
        <v>621</v>
      </c>
      <c r="BJ27" s="460" t="s">
        <v>621</v>
      </c>
      <c r="BK27" s="460" t="s">
        <v>621</v>
      </c>
      <c r="BL27" s="460" t="s">
        <v>621</v>
      </c>
      <c r="BM27" s="460">
        <v>0</v>
      </c>
      <c r="BN27" s="460" t="s">
        <v>621</v>
      </c>
      <c r="BO27" s="460" t="s">
        <v>621</v>
      </c>
      <c r="BP27" s="460">
        <v>0</v>
      </c>
      <c r="BQ27" s="460">
        <v>0</v>
      </c>
      <c r="BR27" s="460" t="s">
        <v>621</v>
      </c>
      <c r="BS27" s="460" t="s">
        <v>621</v>
      </c>
      <c r="BT27" s="460" t="s">
        <v>621</v>
      </c>
      <c r="BU27" s="460" t="s">
        <v>621</v>
      </c>
      <c r="BV27" s="460" t="s">
        <v>621</v>
      </c>
      <c r="BW27" s="460">
        <v>0</v>
      </c>
      <c r="BX27" s="460" t="s">
        <v>621</v>
      </c>
      <c r="BY27" s="460" t="s">
        <v>621</v>
      </c>
      <c r="BZ27" s="460">
        <v>0</v>
      </c>
      <c r="CA27" s="460">
        <v>0</v>
      </c>
      <c r="CB27" s="460" t="s">
        <v>621</v>
      </c>
      <c r="CC27" s="460" t="s">
        <v>621</v>
      </c>
      <c r="CD27" s="460" t="s">
        <v>621</v>
      </c>
      <c r="CE27" s="460" t="s">
        <v>621</v>
      </c>
      <c r="CF27" s="460" t="s">
        <v>621</v>
      </c>
      <c r="CG27" s="461">
        <f>AS27</f>
        <v>15.04</v>
      </c>
      <c r="CH27" s="460" t="s">
        <v>621</v>
      </c>
      <c r="CI27" s="460" t="s">
        <v>621</v>
      </c>
      <c r="CJ27" s="461">
        <v>0</v>
      </c>
      <c r="CK27" s="461">
        <f t="shared" si="14"/>
        <v>15.04</v>
      </c>
      <c r="CL27" s="461">
        <f t="shared" si="15"/>
        <v>24.2</v>
      </c>
      <c r="CM27" s="460" t="s">
        <v>621</v>
      </c>
      <c r="CN27" s="460" t="s">
        <v>621</v>
      </c>
      <c r="CO27" s="461">
        <f t="shared" si="16"/>
        <v>0</v>
      </c>
      <c r="CP27" s="461">
        <f t="shared" si="17"/>
        <v>24.2</v>
      </c>
      <c r="CQ27" s="460"/>
      <c r="CR27" s="253"/>
      <c r="CS27" s="561"/>
      <c r="CT27" s="563"/>
    </row>
    <row r="28" spans="1:98" s="466" customFormat="1" ht="85.5" customHeight="1" x14ac:dyDescent="0.5">
      <c r="A28" s="994" t="s">
        <v>863</v>
      </c>
      <c r="B28" s="995" t="s">
        <v>915</v>
      </c>
      <c r="C28" s="460" t="str">
        <f t="shared" si="11"/>
        <v>J_2021_1.2.2.1.6</v>
      </c>
      <c r="D28" s="460" t="s">
        <v>823</v>
      </c>
      <c r="E28" s="460">
        <v>2021</v>
      </c>
      <c r="F28" s="460">
        <v>2021</v>
      </c>
      <c r="G28" s="460" t="s">
        <v>621</v>
      </c>
      <c r="H28" s="461">
        <v>23.3</v>
      </c>
      <c r="I28" s="461">
        <f t="shared" si="8"/>
        <v>23.3</v>
      </c>
      <c r="J28" s="471">
        <v>43497</v>
      </c>
      <c r="K28" s="461">
        <v>0</v>
      </c>
      <c r="L28" s="461">
        <v>0</v>
      </c>
      <c r="M28" s="471">
        <v>43497</v>
      </c>
      <c r="N28" s="460" t="s">
        <v>621</v>
      </c>
      <c r="O28" s="460" t="s">
        <v>621</v>
      </c>
      <c r="P28" s="461">
        <f t="shared" si="9"/>
        <v>23.3</v>
      </c>
      <c r="Q28" s="461">
        <v>25.03</v>
      </c>
      <c r="R28" s="461">
        <v>0</v>
      </c>
      <c r="S28" s="461">
        <f t="shared" si="12"/>
        <v>0</v>
      </c>
      <c r="T28" s="461">
        <f t="shared" si="13"/>
        <v>25.03</v>
      </c>
      <c r="U28" s="661">
        <v>0</v>
      </c>
      <c r="V28" s="460" t="s">
        <v>621</v>
      </c>
      <c r="W28" s="460" t="s">
        <v>621</v>
      </c>
      <c r="X28" s="460" t="s">
        <v>621</v>
      </c>
      <c r="Y28" s="460" t="s">
        <v>621</v>
      </c>
      <c r="Z28" s="460" t="s">
        <v>621</v>
      </c>
      <c r="AA28" s="460" t="s">
        <v>621</v>
      </c>
      <c r="AB28" s="460" t="s">
        <v>621</v>
      </c>
      <c r="AC28" s="460" t="s">
        <v>621</v>
      </c>
      <c r="AD28" s="460" t="s">
        <v>621</v>
      </c>
      <c r="AE28" s="460" t="s">
        <v>621</v>
      </c>
      <c r="AF28" s="460" t="s">
        <v>621</v>
      </c>
      <c r="AG28" s="460" t="s">
        <v>621</v>
      </c>
      <c r="AH28" s="460" t="s">
        <v>621</v>
      </c>
      <c r="AI28" s="460">
        <v>0</v>
      </c>
      <c r="AJ28" s="460" t="s">
        <v>621</v>
      </c>
      <c r="AK28" s="460" t="s">
        <v>621</v>
      </c>
      <c r="AL28" s="460">
        <v>0</v>
      </c>
      <c r="AM28" s="460">
        <v>0</v>
      </c>
      <c r="AN28" s="460">
        <f t="shared" si="18"/>
        <v>0</v>
      </c>
      <c r="AO28" s="460" t="s">
        <v>621</v>
      </c>
      <c r="AP28" s="460" t="s">
        <v>621</v>
      </c>
      <c r="AQ28" s="460" t="s">
        <v>621</v>
      </c>
      <c r="AR28" s="460">
        <f t="shared" si="19"/>
        <v>0</v>
      </c>
      <c r="AS28" s="461">
        <f>Q28</f>
        <v>25.03</v>
      </c>
      <c r="AT28" s="460" t="s">
        <v>621</v>
      </c>
      <c r="AU28" s="460" t="s">
        <v>621</v>
      </c>
      <c r="AV28" s="461">
        <v>0</v>
      </c>
      <c r="AW28" s="461">
        <f>AS28</f>
        <v>25.03</v>
      </c>
      <c r="AX28" s="461">
        <v>0</v>
      </c>
      <c r="AY28" s="460" t="s">
        <v>621</v>
      </c>
      <c r="AZ28" s="460" t="s">
        <v>621</v>
      </c>
      <c r="BA28" s="460" t="s">
        <v>621</v>
      </c>
      <c r="BB28" s="461">
        <v>0</v>
      </c>
      <c r="BC28" s="460" t="str">
        <f t="shared" si="10"/>
        <v>нд</v>
      </c>
      <c r="BD28" s="460" t="s">
        <v>621</v>
      </c>
      <c r="BE28" s="460" t="s">
        <v>621</v>
      </c>
      <c r="BF28" s="460" t="s">
        <v>621</v>
      </c>
      <c r="BG28" s="460" t="s">
        <v>621</v>
      </c>
      <c r="BH28" s="460" t="s">
        <v>621</v>
      </c>
      <c r="BI28" s="460" t="s">
        <v>621</v>
      </c>
      <c r="BJ28" s="460" t="s">
        <v>621</v>
      </c>
      <c r="BK28" s="460" t="s">
        <v>621</v>
      </c>
      <c r="BL28" s="460" t="s">
        <v>621</v>
      </c>
      <c r="BM28" s="460">
        <v>0</v>
      </c>
      <c r="BN28" s="460" t="s">
        <v>621</v>
      </c>
      <c r="BO28" s="460" t="s">
        <v>621</v>
      </c>
      <c r="BP28" s="460">
        <v>0</v>
      </c>
      <c r="BQ28" s="460">
        <v>0</v>
      </c>
      <c r="BR28" s="460" t="s">
        <v>621</v>
      </c>
      <c r="BS28" s="460" t="s">
        <v>621</v>
      </c>
      <c r="BT28" s="460" t="s">
        <v>621</v>
      </c>
      <c r="BU28" s="460" t="s">
        <v>621</v>
      </c>
      <c r="BV28" s="460" t="s">
        <v>621</v>
      </c>
      <c r="BW28" s="460">
        <v>0</v>
      </c>
      <c r="BX28" s="460" t="s">
        <v>621</v>
      </c>
      <c r="BY28" s="460" t="s">
        <v>621</v>
      </c>
      <c r="BZ28" s="460">
        <v>0</v>
      </c>
      <c r="CA28" s="460">
        <v>0</v>
      </c>
      <c r="CB28" s="460" t="s">
        <v>621</v>
      </c>
      <c r="CC28" s="460" t="s">
        <v>621</v>
      </c>
      <c r="CD28" s="460" t="s">
        <v>621</v>
      </c>
      <c r="CE28" s="460" t="s">
        <v>621</v>
      </c>
      <c r="CF28" s="460" t="s">
        <v>621</v>
      </c>
      <c r="CG28" s="461">
        <f>AS28</f>
        <v>25.03</v>
      </c>
      <c r="CH28" s="460" t="s">
        <v>621</v>
      </c>
      <c r="CI28" s="460" t="s">
        <v>621</v>
      </c>
      <c r="CJ28" s="461">
        <v>0</v>
      </c>
      <c r="CK28" s="461">
        <f t="shared" si="14"/>
        <v>25.03</v>
      </c>
      <c r="CL28" s="461">
        <f t="shared" si="15"/>
        <v>0</v>
      </c>
      <c r="CM28" s="460" t="s">
        <v>621</v>
      </c>
      <c r="CN28" s="460" t="s">
        <v>621</v>
      </c>
      <c r="CO28" s="461">
        <f t="shared" si="16"/>
        <v>0</v>
      </c>
      <c r="CP28" s="461">
        <f t="shared" si="17"/>
        <v>0</v>
      </c>
      <c r="CQ28" s="460"/>
      <c r="CR28" s="253"/>
      <c r="CS28" s="561"/>
      <c r="CT28" s="563"/>
    </row>
    <row r="29" spans="1:98" s="466" customFormat="1" ht="108.75" customHeight="1" x14ac:dyDescent="0.5">
      <c r="A29" s="994" t="s">
        <v>864</v>
      </c>
      <c r="B29" s="995" t="s">
        <v>818</v>
      </c>
      <c r="C29" s="460" t="str">
        <f t="shared" si="11"/>
        <v>J_2022_1.2.2.1.7</v>
      </c>
      <c r="D29" s="460" t="s">
        <v>823</v>
      </c>
      <c r="E29" s="460">
        <v>2022</v>
      </c>
      <c r="F29" s="460">
        <v>2022</v>
      </c>
      <c r="G29" s="460" t="s">
        <v>621</v>
      </c>
      <c r="H29" s="461">
        <v>5.61</v>
      </c>
      <c r="I29" s="461">
        <f t="shared" si="8"/>
        <v>5.61</v>
      </c>
      <c r="J29" s="471">
        <v>43497</v>
      </c>
      <c r="K29" s="461">
        <v>0</v>
      </c>
      <c r="L29" s="461">
        <v>0</v>
      </c>
      <c r="M29" s="471">
        <v>43497</v>
      </c>
      <c r="N29" s="460" t="s">
        <v>621</v>
      </c>
      <c r="O29" s="460" t="s">
        <v>621</v>
      </c>
      <c r="P29" s="461">
        <f t="shared" si="9"/>
        <v>5.61</v>
      </c>
      <c r="Q29" s="461">
        <v>6.25</v>
      </c>
      <c r="R29" s="461">
        <f t="shared" ref="R29:R34" si="21">P29</f>
        <v>5.61</v>
      </c>
      <c r="S29" s="461">
        <f t="shared" si="12"/>
        <v>6.56</v>
      </c>
      <c r="T29" s="461">
        <f>Q29</f>
        <v>6.25</v>
      </c>
      <c r="U29" s="661">
        <v>6.56</v>
      </c>
      <c r="V29" s="460" t="s">
        <v>621</v>
      </c>
      <c r="W29" s="460" t="s">
        <v>621</v>
      </c>
      <c r="X29" s="460" t="s">
        <v>621</v>
      </c>
      <c r="Y29" s="460" t="s">
        <v>621</v>
      </c>
      <c r="Z29" s="460" t="s">
        <v>621</v>
      </c>
      <c r="AA29" s="460" t="s">
        <v>621</v>
      </c>
      <c r="AB29" s="460" t="s">
        <v>621</v>
      </c>
      <c r="AC29" s="460" t="s">
        <v>621</v>
      </c>
      <c r="AD29" s="460" t="s">
        <v>621</v>
      </c>
      <c r="AE29" s="460" t="s">
        <v>621</v>
      </c>
      <c r="AF29" s="460" t="s">
        <v>621</v>
      </c>
      <c r="AG29" s="460" t="s">
        <v>621</v>
      </c>
      <c r="AH29" s="460" t="s">
        <v>621</v>
      </c>
      <c r="AI29" s="460">
        <v>0</v>
      </c>
      <c r="AJ29" s="460" t="s">
        <v>621</v>
      </c>
      <c r="AK29" s="460" t="s">
        <v>621</v>
      </c>
      <c r="AL29" s="460">
        <v>0</v>
      </c>
      <c r="AM29" s="460">
        <v>0</v>
      </c>
      <c r="AN29" s="460">
        <f t="shared" si="18"/>
        <v>0</v>
      </c>
      <c r="AO29" s="460" t="s">
        <v>621</v>
      </c>
      <c r="AP29" s="460" t="s">
        <v>621</v>
      </c>
      <c r="AQ29" s="460" t="s">
        <v>621</v>
      </c>
      <c r="AR29" s="460">
        <f t="shared" si="19"/>
        <v>0</v>
      </c>
      <c r="AS29" s="460">
        <v>0</v>
      </c>
      <c r="AT29" s="460" t="s">
        <v>621</v>
      </c>
      <c r="AU29" s="460" t="s">
        <v>621</v>
      </c>
      <c r="AV29" s="460">
        <v>0</v>
      </c>
      <c r="AW29" s="460">
        <v>0</v>
      </c>
      <c r="AX29" s="461">
        <f t="shared" si="20"/>
        <v>0</v>
      </c>
      <c r="AY29" s="460" t="s">
        <v>621</v>
      </c>
      <c r="AZ29" s="460" t="s">
        <v>621</v>
      </c>
      <c r="BA29" s="460" t="s">
        <v>621</v>
      </c>
      <c r="BB29" s="461">
        <f t="shared" ref="BB29:BB34" si="22">AW29</f>
        <v>0</v>
      </c>
      <c r="BC29" s="461">
        <v>6.25</v>
      </c>
      <c r="BD29" s="460" t="s">
        <v>621</v>
      </c>
      <c r="BE29" s="460" t="s">
        <v>621</v>
      </c>
      <c r="BF29" s="461">
        <v>0</v>
      </c>
      <c r="BG29" s="461">
        <v>6.25</v>
      </c>
      <c r="BH29" s="460">
        <v>6.56</v>
      </c>
      <c r="BI29" s="460" t="s">
        <v>621</v>
      </c>
      <c r="BJ29" s="460" t="s">
        <v>621</v>
      </c>
      <c r="BK29" s="460" t="s">
        <v>621</v>
      </c>
      <c r="BL29" s="460">
        <v>6.56</v>
      </c>
      <c r="BM29" s="460">
        <v>0</v>
      </c>
      <c r="BN29" s="460" t="s">
        <v>621</v>
      </c>
      <c r="BO29" s="460" t="s">
        <v>621</v>
      </c>
      <c r="BP29" s="460">
        <v>0</v>
      </c>
      <c r="BQ29" s="460">
        <v>0</v>
      </c>
      <c r="BR29" s="460" t="s">
        <v>621</v>
      </c>
      <c r="BS29" s="460" t="s">
        <v>621</v>
      </c>
      <c r="BT29" s="460" t="s">
        <v>621</v>
      </c>
      <c r="BU29" s="460" t="s">
        <v>621</v>
      </c>
      <c r="BV29" s="460" t="s">
        <v>621</v>
      </c>
      <c r="BW29" s="460">
        <v>0</v>
      </c>
      <c r="BX29" s="460" t="s">
        <v>621</v>
      </c>
      <c r="BY29" s="460" t="s">
        <v>621</v>
      </c>
      <c r="BZ29" s="460">
        <v>0</v>
      </c>
      <c r="CA29" s="460">
        <v>0</v>
      </c>
      <c r="CB29" s="460" t="s">
        <v>621</v>
      </c>
      <c r="CC29" s="460" t="s">
        <v>621</v>
      </c>
      <c r="CD29" s="460" t="s">
        <v>621</v>
      </c>
      <c r="CE29" s="460" t="s">
        <v>621</v>
      </c>
      <c r="CF29" s="460" t="s">
        <v>621</v>
      </c>
      <c r="CG29" s="461">
        <f>BC29</f>
        <v>6.25</v>
      </c>
      <c r="CH29" s="460" t="s">
        <v>621</v>
      </c>
      <c r="CI29" s="460" t="s">
        <v>621</v>
      </c>
      <c r="CJ29" s="461">
        <f>BF29</f>
        <v>0</v>
      </c>
      <c r="CK29" s="461">
        <f t="shared" si="14"/>
        <v>6.25</v>
      </c>
      <c r="CL29" s="461">
        <f t="shared" si="15"/>
        <v>6.56</v>
      </c>
      <c r="CM29" s="460" t="s">
        <v>621</v>
      </c>
      <c r="CN29" s="460" t="s">
        <v>621</v>
      </c>
      <c r="CO29" s="461">
        <f t="shared" si="16"/>
        <v>0</v>
      </c>
      <c r="CP29" s="461">
        <f t="shared" si="17"/>
        <v>6.56</v>
      </c>
      <c r="CQ29" s="460"/>
      <c r="CR29" s="253"/>
      <c r="CS29" s="561"/>
      <c r="CT29" s="563"/>
    </row>
    <row r="30" spans="1:98" s="466" customFormat="1" ht="114" customHeight="1" x14ac:dyDescent="0.5">
      <c r="A30" s="994" t="s">
        <v>868</v>
      </c>
      <c r="B30" s="995" t="s">
        <v>870</v>
      </c>
      <c r="C30" s="460" t="str">
        <f t="shared" si="11"/>
        <v>J_2022_1.2.2.1.8</v>
      </c>
      <c r="D30" s="460" t="s">
        <v>823</v>
      </c>
      <c r="E30" s="460">
        <v>2022</v>
      </c>
      <c r="F30" s="460">
        <v>2022</v>
      </c>
      <c r="G30" s="460" t="s">
        <v>621</v>
      </c>
      <c r="H30" s="461">
        <v>5.93</v>
      </c>
      <c r="I30" s="461">
        <f t="shared" si="8"/>
        <v>5.93</v>
      </c>
      <c r="J30" s="471">
        <v>43497</v>
      </c>
      <c r="K30" s="461">
        <v>0</v>
      </c>
      <c r="L30" s="461">
        <v>0</v>
      </c>
      <c r="M30" s="471">
        <v>43497</v>
      </c>
      <c r="N30" s="460" t="s">
        <v>621</v>
      </c>
      <c r="O30" s="460" t="s">
        <v>621</v>
      </c>
      <c r="P30" s="461">
        <f t="shared" si="9"/>
        <v>5.93</v>
      </c>
      <c r="Q30" s="461">
        <v>6.61</v>
      </c>
      <c r="R30" s="461">
        <v>0</v>
      </c>
      <c r="S30" s="461">
        <f t="shared" si="12"/>
        <v>0</v>
      </c>
      <c r="T30" s="461">
        <v>6.61</v>
      </c>
      <c r="U30" s="661">
        <v>0</v>
      </c>
      <c r="V30" s="460" t="s">
        <v>621</v>
      </c>
      <c r="W30" s="460" t="s">
        <v>621</v>
      </c>
      <c r="X30" s="460" t="s">
        <v>621</v>
      </c>
      <c r="Y30" s="460" t="s">
        <v>621</v>
      </c>
      <c r="Z30" s="460" t="s">
        <v>621</v>
      </c>
      <c r="AA30" s="460" t="s">
        <v>621</v>
      </c>
      <c r="AB30" s="460" t="s">
        <v>621</v>
      </c>
      <c r="AC30" s="460" t="s">
        <v>621</v>
      </c>
      <c r="AD30" s="460" t="s">
        <v>621</v>
      </c>
      <c r="AE30" s="460" t="s">
        <v>621</v>
      </c>
      <c r="AF30" s="460" t="s">
        <v>621</v>
      </c>
      <c r="AG30" s="460" t="s">
        <v>621</v>
      </c>
      <c r="AH30" s="460" t="s">
        <v>621</v>
      </c>
      <c r="AI30" s="460">
        <v>0</v>
      </c>
      <c r="AJ30" s="460" t="s">
        <v>621</v>
      </c>
      <c r="AK30" s="460" t="s">
        <v>621</v>
      </c>
      <c r="AL30" s="460">
        <v>0</v>
      </c>
      <c r="AM30" s="460">
        <v>0</v>
      </c>
      <c r="AN30" s="460">
        <f t="shared" si="18"/>
        <v>0</v>
      </c>
      <c r="AO30" s="460" t="s">
        <v>621</v>
      </c>
      <c r="AP30" s="460" t="s">
        <v>621</v>
      </c>
      <c r="AQ30" s="460" t="s">
        <v>621</v>
      </c>
      <c r="AR30" s="460">
        <f t="shared" si="19"/>
        <v>0</v>
      </c>
      <c r="AS30" s="460">
        <v>0</v>
      </c>
      <c r="AT30" s="460" t="s">
        <v>621</v>
      </c>
      <c r="AU30" s="460" t="s">
        <v>621</v>
      </c>
      <c r="AV30" s="460">
        <v>0</v>
      </c>
      <c r="AW30" s="460">
        <v>0</v>
      </c>
      <c r="AX30" s="461">
        <f t="shared" si="20"/>
        <v>0</v>
      </c>
      <c r="AY30" s="460" t="s">
        <v>621</v>
      </c>
      <c r="AZ30" s="460" t="s">
        <v>621</v>
      </c>
      <c r="BA30" s="460" t="s">
        <v>621</v>
      </c>
      <c r="BB30" s="461">
        <f t="shared" si="22"/>
        <v>0</v>
      </c>
      <c r="BC30" s="461">
        <f>Q30</f>
        <v>6.61</v>
      </c>
      <c r="BD30" s="460" t="s">
        <v>621</v>
      </c>
      <c r="BE30" s="460" t="s">
        <v>621</v>
      </c>
      <c r="BF30" s="461">
        <v>0</v>
      </c>
      <c r="BG30" s="461">
        <f>BC30</f>
        <v>6.61</v>
      </c>
      <c r="BH30" s="461">
        <f>BL30</f>
        <v>0</v>
      </c>
      <c r="BI30" s="460" t="s">
        <v>621</v>
      </c>
      <c r="BJ30" s="460" t="s">
        <v>621</v>
      </c>
      <c r="BK30" s="460" t="s">
        <v>621</v>
      </c>
      <c r="BL30" s="461">
        <f>U30</f>
        <v>0</v>
      </c>
      <c r="BM30" s="460">
        <v>0</v>
      </c>
      <c r="BN30" s="460" t="s">
        <v>621</v>
      </c>
      <c r="BO30" s="460" t="s">
        <v>621</v>
      </c>
      <c r="BP30" s="460">
        <v>0</v>
      </c>
      <c r="BQ30" s="460">
        <v>0</v>
      </c>
      <c r="BR30" s="460" t="s">
        <v>621</v>
      </c>
      <c r="BS30" s="460" t="s">
        <v>621</v>
      </c>
      <c r="BT30" s="460" t="s">
        <v>621</v>
      </c>
      <c r="BU30" s="460" t="s">
        <v>621</v>
      </c>
      <c r="BV30" s="460" t="s">
        <v>621</v>
      </c>
      <c r="BW30" s="460">
        <v>0</v>
      </c>
      <c r="BX30" s="460" t="s">
        <v>621</v>
      </c>
      <c r="BY30" s="460" t="s">
        <v>621</v>
      </c>
      <c r="BZ30" s="460">
        <v>0</v>
      </c>
      <c r="CA30" s="460">
        <v>0</v>
      </c>
      <c r="CB30" s="460" t="s">
        <v>621</v>
      </c>
      <c r="CC30" s="460" t="s">
        <v>621</v>
      </c>
      <c r="CD30" s="460" t="s">
        <v>621</v>
      </c>
      <c r="CE30" s="460" t="s">
        <v>621</v>
      </c>
      <c r="CF30" s="460" t="s">
        <v>621</v>
      </c>
      <c r="CG30" s="461">
        <f>BC30</f>
        <v>6.61</v>
      </c>
      <c r="CH30" s="460" t="s">
        <v>621</v>
      </c>
      <c r="CI30" s="460" t="s">
        <v>621</v>
      </c>
      <c r="CJ30" s="461">
        <v>0</v>
      </c>
      <c r="CK30" s="461">
        <f t="shared" si="14"/>
        <v>6.61</v>
      </c>
      <c r="CL30" s="461">
        <f t="shared" si="15"/>
        <v>0</v>
      </c>
      <c r="CM30" s="460" t="s">
        <v>621</v>
      </c>
      <c r="CN30" s="460" t="s">
        <v>621</v>
      </c>
      <c r="CO30" s="461">
        <f t="shared" si="16"/>
        <v>0</v>
      </c>
      <c r="CP30" s="461">
        <f t="shared" si="17"/>
        <v>0</v>
      </c>
      <c r="CQ30" s="460"/>
      <c r="CR30" s="253"/>
      <c r="CS30" s="561"/>
      <c r="CT30" s="563"/>
    </row>
    <row r="31" spans="1:98" s="466" customFormat="1" ht="228.75" customHeight="1" x14ac:dyDescent="0.5">
      <c r="A31" s="462" t="s">
        <v>869</v>
      </c>
      <c r="B31" s="470" t="s">
        <v>876</v>
      </c>
      <c r="C31" s="460" t="str">
        <f t="shared" si="11"/>
        <v>J_2023_1.2.2.1.9</v>
      </c>
      <c r="D31" s="460" t="s">
        <v>823</v>
      </c>
      <c r="E31" s="460">
        <v>2023</v>
      </c>
      <c r="F31" s="460">
        <v>2023</v>
      </c>
      <c r="G31" s="460" t="s">
        <v>621</v>
      </c>
      <c r="H31" s="461">
        <v>48.97</v>
      </c>
      <c r="I31" s="461">
        <f t="shared" si="8"/>
        <v>48.97</v>
      </c>
      <c r="J31" s="471">
        <v>43709</v>
      </c>
      <c r="K31" s="461">
        <f t="shared" ref="K31:L34" si="23">H31</f>
        <v>48.97</v>
      </c>
      <c r="L31" s="461">
        <f t="shared" si="23"/>
        <v>48.97</v>
      </c>
      <c r="M31" s="471">
        <v>43709</v>
      </c>
      <c r="N31" s="460" t="s">
        <v>621</v>
      </c>
      <c r="O31" s="460" t="s">
        <v>621</v>
      </c>
      <c r="P31" s="461">
        <f t="shared" si="9"/>
        <v>48.97</v>
      </c>
      <c r="Q31" s="461">
        <v>56.63</v>
      </c>
      <c r="R31" s="461">
        <f t="shared" si="21"/>
        <v>48.97</v>
      </c>
      <c r="S31" s="461">
        <f t="shared" si="12"/>
        <v>60.38</v>
      </c>
      <c r="T31" s="461">
        <f t="shared" si="13"/>
        <v>56.63</v>
      </c>
      <c r="U31" s="661">
        <v>60.38</v>
      </c>
      <c r="V31" s="460" t="s">
        <v>621</v>
      </c>
      <c r="W31" s="460" t="s">
        <v>621</v>
      </c>
      <c r="X31" s="460" t="s">
        <v>621</v>
      </c>
      <c r="Y31" s="460" t="s">
        <v>621</v>
      </c>
      <c r="Z31" s="460" t="s">
        <v>621</v>
      </c>
      <c r="AA31" s="460" t="s">
        <v>621</v>
      </c>
      <c r="AB31" s="460" t="s">
        <v>621</v>
      </c>
      <c r="AC31" s="460" t="s">
        <v>621</v>
      </c>
      <c r="AD31" s="460" t="s">
        <v>621</v>
      </c>
      <c r="AE31" s="460" t="s">
        <v>621</v>
      </c>
      <c r="AF31" s="460" t="s">
        <v>621</v>
      </c>
      <c r="AG31" s="460" t="s">
        <v>621</v>
      </c>
      <c r="AH31" s="460" t="s">
        <v>621</v>
      </c>
      <c r="AI31" s="460">
        <v>0</v>
      </c>
      <c r="AJ31" s="460" t="s">
        <v>621</v>
      </c>
      <c r="AK31" s="460" t="s">
        <v>621</v>
      </c>
      <c r="AL31" s="460">
        <v>0</v>
      </c>
      <c r="AM31" s="460">
        <v>0</v>
      </c>
      <c r="AN31" s="460">
        <f t="shared" si="18"/>
        <v>0</v>
      </c>
      <c r="AO31" s="460" t="s">
        <v>621</v>
      </c>
      <c r="AP31" s="460" t="s">
        <v>621</v>
      </c>
      <c r="AQ31" s="460" t="s">
        <v>621</v>
      </c>
      <c r="AR31" s="460">
        <f t="shared" si="19"/>
        <v>0</v>
      </c>
      <c r="AS31" s="460">
        <v>0</v>
      </c>
      <c r="AT31" s="460" t="s">
        <v>621</v>
      </c>
      <c r="AU31" s="460" t="s">
        <v>621</v>
      </c>
      <c r="AV31" s="460">
        <v>0</v>
      </c>
      <c r="AW31" s="460">
        <v>0</v>
      </c>
      <c r="AX31" s="461">
        <f t="shared" si="20"/>
        <v>0</v>
      </c>
      <c r="AY31" s="460" t="s">
        <v>621</v>
      </c>
      <c r="AZ31" s="460" t="s">
        <v>621</v>
      </c>
      <c r="BA31" s="460" t="s">
        <v>621</v>
      </c>
      <c r="BB31" s="461">
        <f t="shared" si="22"/>
        <v>0</v>
      </c>
      <c r="BC31" s="460">
        <v>0</v>
      </c>
      <c r="BD31" s="460" t="s">
        <v>621</v>
      </c>
      <c r="BE31" s="460" t="s">
        <v>621</v>
      </c>
      <c r="BF31" s="460">
        <v>0</v>
      </c>
      <c r="BG31" s="460">
        <v>0</v>
      </c>
      <c r="BH31" s="460" t="s">
        <v>621</v>
      </c>
      <c r="BI31" s="460" t="s">
        <v>621</v>
      </c>
      <c r="BJ31" s="460" t="s">
        <v>621</v>
      </c>
      <c r="BK31" s="460" t="s">
        <v>621</v>
      </c>
      <c r="BL31" s="460" t="s">
        <v>621</v>
      </c>
      <c r="BM31" s="461">
        <f>Q31</f>
        <v>56.63</v>
      </c>
      <c r="BN31" s="460" t="s">
        <v>621</v>
      </c>
      <c r="BO31" s="460" t="s">
        <v>621</v>
      </c>
      <c r="BP31" s="461">
        <v>0</v>
      </c>
      <c r="BQ31" s="461">
        <f>BM31</f>
        <v>56.63</v>
      </c>
      <c r="BR31" s="461">
        <f>S31</f>
        <v>60.38</v>
      </c>
      <c r="BS31" s="460" t="s">
        <v>621</v>
      </c>
      <c r="BT31" s="460" t="s">
        <v>621</v>
      </c>
      <c r="BU31" s="460" t="s">
        <v>621</v>
      </c>
      <c r="BV31" s="461">
        <f>BR31</f>
        <v>60.38</v>
      </c>
      <c r="BW31" s="460">
        <v>0</v>
      </c>
      <c r="BX31" s="460" t="s">
        <v>621</v>
      </c>
      <c r="BY31" s="460" t="s">
        <v>621</v>
      </c>
      <c r="BZ31" s="460">
        <v>0</v>
      </c>
      <c r="CA31" s="460">
        <v>0</v>
      </c>
      <c r="CB31" s="460" t="s">
        <v>621</v>
      </c>
      <c r="CC31" s="460" t="s">
        <v>621</v>
      </c>
      <c r="CD31" s="460" t="s">
        <v>621</v>
      </c>
      <c r="CE31" s="460" t="s">
        <v>621</v>
      </c>
      <c r="CF31" s="460" t="s">
        <v>621</v>
      </c>
      <c r="CG31" s="461">
        <f>BM31</f>
        <v>56.63</v>
      </c>
      <c r="CH31" s="460" t="s">
        <v>621</v>
      </c>
      <c r="CI31" s="460" t="s">
        <v>621</v>
      </c>
      <c r="CJ31" s="461">
        <v>0</v>
      </c>
      <c r="CK31" s="461">
        <f t="shared" si="14"/>
        <v>56.63</v>
      </c>
      <c r="CL31" s="461">
        <f t="shared" si="15"/>
        <v>60.38</v>
      </c>
      <c r="CM31" s="460" t="s">
        <v>621</v>
      </c>
      <c r="CN31" s="460" t="s">
        <v>621</v>
      </c>
      <c r="CO31" s="461">
        <f t="shared" si="16"/>
        <v>0</v>
      </c>
      <c r="CP31" s="461">
        <f t="shared" si="17"/>
        <v>60.38</v>
      </c>
      <c r="CQ31" s="460"/>
      <c r="CR31" s="253"/>
      <c r="CS31" s="561"/>
      <c r="CT31" s="563"/>
    </row>
    <row r="32" spans="1:98" s="466" customFormat="1" ht="73.5" customHeight="1" x14ac:dyDescent="0.5">
      <c r="A32" s="462" t="s">
        <v>874</v>
      </c>
      <c r="B32" s="470" t="s">
        <v>821</v>
      </c>
      <c r="C32" s="460" t="str">
        <f t="shared" si="11"/>
        <v>J_2024_1.2.2.1.10</v>
      </c>
      <c r="D32" s="460" t="s">
        <v>823</v>
      </c>
      <c r="E32" s="460">
        <v>2024</v>
      </c>
      <c r="F32" s="460">
        <v>2024</v>
      </c>
      <c r="G32" s="460" t="s">
        <v>621</v>
      </c>
      <c r="H32" s="461">
        <v>13.93</v>
      </c>
      <c r="I32" s="461">
        <f t="shared" si="8"/>
        <v>13.93</v>
      </c>
      <c r="J32" s="471">
        <v>43497</v>
      </c>
      <c r="K32" s="461">
        <f t="shared" si="23"/>
        <v>13.93</v>
      </c>
      <c r="L32" s="461">
        <f t="shared" si="23"/>
        <v>13.93</v>
      </c>
      <c r="M32" s="471">
        <v>43497</v>
      </c>
      <c r="N32" s="460" t="s">
        <v>621</v>
      </c>
      <c r="O32" s="460" t="s">
        <v>621</v>
      </c>
      <c r="P32" s="461">
        <f t="shared" si="9"/>
        <v>13.93</v>
      </c>
      <c r="Q32" s="461">
        <f>16.72</f>
        <v>16.72</v>
      </c>
      <c r="R32" s="461">
        <f t="shared" si="21"/>
        <v>13.93</v>
      </c>
      <c r="S32" s="461">
        <f t="shared" si="12"/>
        <v>18.14</v>
      </c>
      <c r="T32" s="461">
        <f t="shared" si="13"/>
        <v>16.72</v>
      </c>
      <c r="U32" s="661">
        <v>18.14</v>
      </c>
      <c r="V32" s="460" t="s">
        <v>621</v>
      </c>
      <c r="W32" s="460" t="s">
        <v>621</v>
      </c>
      <c r="X32" s="460" t="s">
        <v>621</v>
      </c>
      <c r="Y32" s="460" t="s">
        <v>621</v>
      </c>
      <c r="Z32" s="460" t="s">
        <v>621</v>
      </c>
      <c r="AA32" s="460" t="s">
        <v>621</v>
      </c>
      <c r="AB32" s="460" t="s">
        <v>621</v>
      </c>
      <c r="AC32" s="460" t="s">
        <v>621</v>
      </c>
      <c r="AD32" s="460" t="s">
        <v>621</v>
      </c>
      <c r="AE32" s="460" t="s">
        <v>621</v>
      </c>
      <c r="AF32" s="460" t="s">
        <v>621</v>
      </c>
      <c r="AG32" s="460" t="s">
        <v>621</v>
      </c>
      <c r="AH32" s="460" t="s">
        <v>621</v>
      </c>
      <c r="AI32" s="460">
        <v>0</v>
      </c>
      <c r="AJ32" s="460" t="s">
        <v>621</v>
      </c>
      <c r="AK32" s="460" t="s">
        <v>621</v>
      </c>
      <c r="AL32" s="460">
        <v>0</v>
      </c>
      <c r="AM32" s="460">
        <v>0</v>
      </c>
      <c r="AN32" s="460">
        <f t="shared" si="18"/>
        <v>0</v>
      </c>
      <c r="AO32" s="460" t="s">
        <v>621</v>
      </c>
      <c r="AP32" s="460" t="s">
        <v>621</v>
      </c>
      <c r="AQ32" s="460" t="s">
        <v>621</v>
      </c>
      <c r="AR32" s="460">
        <f t="shared" si="19"/>
        <v>0</v>
      </c>
      <c r="AS32" s="460">
        <v>0</v>
      </c>
      <c r="AT32" s="460" t="s">
        <v>621</v>
      </c>
      <c r="AU32" s="460" t="s">
        <v>621</v>
      </c>
      <c r="AV32" s="460">
        <v>0</v>
      </c>
      <c r="AW32" s="460">
        <v>0</v>
      </c>
      <c r="AX32" s="461">
        <f t="shared" si="20"/>
        <v>0</v>
      </c>
      <c r="AY32" s="460" t="s">
        <v>621</v>
      </c>
      <c r="AZ32" s="460" t="s">
        <v>621</v>
      </c>
      <c r="BA32" s="460" t="s">
        <v>621</v>
      </c>
      <c r="BB32" s="461">
        <f t="shared" si="22"/>
        <v>0</v>
      </c>
      <c r="BC32" s="460">
        <v>0</v>
      </c>
      <c r="BD32" s="460" t="s">
        <v>621</v>
      </c>
      <c r="BE32" s="460" t="s">
        <v>621</v>
      </c>
      <c r="BF32" s="460">
        <v>0</v>
      </c>
      <c r="BG32" s="460">
        <v>0</v>
      </c>
      <c r="BH32" s="460" t="s">
        <v>621</v>
      </c>
      <c r="BI32" s="460" t="s">
        <v>621</v>
      </c>
      <c r="BJ32" s="460" t="s">
        <v>621</v>
      </c>
      <c r="BK32" s="460" t="s">
        <v>621</v>
      </c>
      <c r="BL32" s="460" t="s">
        <v>621</v>
      </c>
      <c r="BM32" s="460">
        <v>0</v>
      </c>
      <c r="BN32" s="460" t="s">
        <v>621</v>
      </c>
      <c r="BO32" s="460" t="s">
        <v>621</v>
      </c>
      <c r="BP32" s="460">
        <v>0</v>
      </c>
      <c r="BQ32" s="460">
        <v>0</v>
      </c>
      <c r="BR32" s="460" t="s">
        <v>621</v>
      </c>
      <c r="BS32" s="460" t="s">
        <v>621</v>
      </c>
      <c r="BT32" s="460" t="s">
        <v>621</v>
      </c>
      <c r="BU32" s="460" t="s">
        <v>621</v>
      </c>
      <c r="BV32" s="460" t="s">
        <v>621</v>
      </c>
      <c r="BW32" s="461">
        <f>CL32</f>
        <v>18.14</v>
      </c>
      <c r="BX32" s="460" t="s">
        <v>621</v>
      </c>
      <c r="BY32" s="460" t="s">
        <v>621</v>
      </c>
      <c r="BZ32" s="461">
        <v>0</v>
      </c>
      <c r="CA32" s="461">
        <f>BW32</f>
        <v>18.14</v>
      </c>
      <c r="CB32" s="461">
        <f>BW32</f>
        <v>18.14</v>
      </c>
      <c r="CC32" s="460" t="s">
        <v>621</v>
      </c>
      <c r="CD32" s="460" t="s">
        <v>621</v>
      </c>
      <c r="CE32" s="460" t="s">
        <v>621</v>
      </c>
      <c r="CF32" s="461">
        <f>CA32</f>
        <v>18.14</v>
      </c>
      <c r="CG32" s="461">
        <f>CK32</f>
        <v>16.72</v>
      </c>
      <c r="CH32" s="460" t="s">
        <v>621</v>
      </c>
      <c r="CI32" s="460" t="s">
        <v>621</v>
      </c>
      <c r="CJ32" s="461">
        <f>BZ32</f>
        <v>0</v>
      </c>
      <c r="CK32" s="461">
        <f t="shared" si="14"/>
        <v>16.72</v>
      </c>
      <c r="CL32" s="461">
        <f t="shared" si="15"/>
        <v>18.14</v>
      </c>
      <c r="CM32" s="460" t="s">
        <v>621</v>
      </c>
      <c r="CN32" s="460" t="s">
        <v>621</v>
      </c>
      <c r="CO32" s="461">
        <f t="shared" si="16"/>
        <v>0</v>
      </c>
      <c r="CP32" s="461">
        <f t="shared" si="17"/>
        <v>18.14</v>
      </c>
      <c r="CQ32" s="460"/>
      <c r="CR32" s="253"/>
      <c r="CS32" s="561"/>
      <c r="CT32" s="563"/>
    </row>
    <row r="33" spans="1:98" s="466" customFormat="1" ht="122.25" customHeight="1" x14ac:dyDescent="0.5">
      <c r="A33" s="462" t="s">
        <v>875</v>
      </c>
      <c r="B33" s="470" t="s">
        <v>1042</v>
      </c>
      <c r="C33" s="460" t="str">
        <f t="shared" si="11"/>
        <v>J_2024_1.2.2.1.11</v>
      </c>
      <c r="D33" s="460" t="s">
        <v>823</v>
      </c>
      <c r="E33" s="460">
        <v>2024</v>
      </c>
      <c r="F33" s="460">
        <v>2024</v>
      </c>
      <c r="G33" s="460" t="s">
        <v>621</v>
      </c>
      <c r="H33" s="461">
        <v>1.42</v>
      </c>
      <c r="I33" s="461">
        <f t="shared" si="8"/>
        <v>1.42</v>
      </c>
      <c r="J33" s="471">
        <v>43497</v>
      </c>
      <c r="K33" s="461">
        <f t="shared" si="23"/>
        <v>1.42</v>
      </c>
      <c r="L33" s="461">
        <f t="shared" si="23"/>
        <v>1.42</v>
      </c>
      <c r="M33" s="471">
        <v>43497</v>
      </c>
      <c r="N33" s="460" t="s">
        <v>621</v>
      </c>
      <c r="O33" s="460" t="s">
        <v>621</v>
      </c>
      <c r="P33" s="461">
        <f t="shared" si="9"/>
        <v>1.42</v>
      </c>
      <c r="Q33" s="461">
        <v>1.7</v>
      </c>
      <c r="R33" s="461">
        <f t="shared" si="21"/>
        <v>1.42</v>
      </c>
      <c r="S33" s="461">
        <f t="shared" si="12"/>
        <v>1.85</v>
      </c>
      <c r="T33" s="461">
        <f>Q33</f>
        <v>1.7</v>
      </c>
      <c r="U33" s="661">
        <v>1.85</v>
      </c>
      <c r="V33" s="460" t="s">
        <v>621</v>
      </c>
      <c r="W33" s="460" t="s">
        <v>621</v>
      </c>
      <c r="X33" s="460" t="s">
        <v>621</v>
      </c>
      <c r="Y33" s="460" t="s">
        <v>621</v>
      </c>
      <c r="Z33" s="460" t="s">
        <v>621</v>
      </c>
      <c r="AA33" s="460" t="s">
        <v>621</v>
      </c>
      <c r="AB33" s="460" t="s">
        <v>621</v>
      </c>
      <c r="AC33" s="460" t="s">
        <v>621</v>
      </c>
      <c r="AD33" s="460" t="s">
        <v>621</v>
      </c>
      <c r="AE33" s="460" t="s">
        <v>621</v>
      </c>
      <c r="AF33" s="460" t="s">
        <v>621</v>
      </c>
      <c r="AG33" s="460" t="s">
        <v>621</v>
      </c>
      <c r="AH33" s="460" t="s">
        <v>621</v>
      </c>
      <c r="AI33" s="460">
        <v>0</v>
      </c>
      <c r="AJ33" s="460" t="s">
        <v>621</v>
      </c>
      <c r="AK33" s="460" t="s">
        <v>621</v>
      </c>
      <c r="AL33" s="460">
        <v>0</v>
      </c>
      <c r="AM33" s="460">
        <v>0</v>
      </c>
      <c r="AN33" s="460">
        <f t="shared" si="18"/>
        <v>0</v>
      </c>
      <c r="AO33" s="460" t="s">
        <v>621</v>
      </c>
      <c r="AP33" s="460" t="s">
        <v>621</v>
      </c>
      <c r="AQ33" s="460" t="s">
        <v>621</v>
      </c>
      <c r="AR33" s="460">
        <f t="shared" si="19"/>
        <v>0</v>
      </c>
      <c r="AS33" s="460">
        <v>0</v>
      </c>
      <c r="AT33" s="460" t="s">
        <v>621</v>
      </c>
      <c r="AU33" s="460" t="s">
        <v>621</v>
      </c>
      <c r="AV33" s="460">
        <v>0</v>
      </c>
      <c r="AW33" s="460">
        <v>0</v>
      </c>
      <c r="AX33" s="461">
        <f t="shared" si="20"/>
        <v>0</v>
      </c>
      <c r="AY33" s="460" t="s">
        <v>621</v>
      </c>
      <c r="AZ33" s="460" t="s">
        <v>621</v>
      </c>
      <c r="BA33" s="460" t="s">
        <v>621</v>
      </c>
      <c r="BB33" s="461">
        <f t="shared" si="22"/>
        <v>0</v>
      </c>
      <c r="BC33" s="460">
        <v>0</v>
      </c>
      <c r="BD33" s="460" t="s">
        <v>621</v>
      </c>
      <c r="BE33" s="460" t="s">
        <v>621</v>
      </c>
      <c r="BF33" s="460">
        <v>0</v>
      </c>
      <c r="BG33" s="460">
        <v>0</v>
      </c>
      <c r="BH33" s="460" t="s">
        <v>621</v>
      </c>
      <c r="BI33" s="460" t="s">
        <v>621</v>
      </c>
      <c r="BJ33" s="460" t="s">
        <v>621</v>
      </c>
      <c r="BK33" s="460" t="s">
        <v>621</v>
      </c>
      <c r="BL33" s="460" t="s">
        <v>621</v>
      </c>
      <c r="BM33" s="460">
        <v>0</v>
      </c>
      <c r="BN33" s="460" t="s">
        <v>621</v>
      </c>
      <c r="BO33" s="460" t="s">
        <v>621</v>
      </c>
      <c r="BP33" s="460">
        <v>0</v>
      </c>
      <c r="BQ33" s="460">
        <v>0</v>
      </c>
      <c r="BR33" s="460" t="s">
        <v>621</v>
      </c>
      <c r="BS33" s="460" t="s">
        <v>621</v>
      </c>
      <c r="BT33" s="460" t="s">
        <v>621</v>
      </c>
      <c r="BU33" s="460" t="s">
        <v>621</v>
      </c>
      <c r="BV33" s="460" t="s">
        <v>621</v>
      </c>
      <c r="BW33" s="461">
        <f>CL33</f>
        <v>1.85</v>
      </c>
      <c r="BX33" s="460" t="s">
        <v>621</v>
      </c>
      <c r="BY33" s="460" t="s">
        <v>621</v>
      </c>
      <c r="BZ33" s="461">
        <v>0</v>
      </c>
      <c r="CA33" s="461">
        <f>BW33</f>
        <v>1.85</v>
      </c>
      <c r="CB33" s="461">
        <f>CF33</f>
        <v>1.85</v>
      </c>
      <c r="CC33" s="460" t="s">
        <v>621</v>
      </c>
      <c r="CD33" s="460" t="s">
        <v>621</v>
      </c>
      <c r="CE33" s="460" t="s">
        <v>621</v>
      </c>
      <c r="CF33" s="461">
        <f>CA33</f>
        <v>1.85</v>
      </c>
      <c r="CG33" s="461">
        <f>CK33</f>
        <v>1.7</v>
      </c>
      <c r="CH33" s="460" t="s">
        <v>621</v>
      </c>
      <c r="CI33" s="460" t="s">
        <v>621</v>
      </c>
      <c r="CJ33" s="461">
        <v>0</v>
      </c>
      <c r="CK33" s="461">
        <f t="shared" si="14"/>
        <v>1.7</v>
      </c>
      <c r="CL33" s="461">
        <f t="shared" si="15"/>
        <v>1.85</v>
      </c>
      <c r="CM33" s="460" t="s">
        <v>621</v>
      </c>
      <c r="CN33" s="460" t="s">
        <v>621</v>
      </c>
      <c r="CO33" s="461">
        <f t="shared" si="16"/>
        <v>0</v>
      </c>
      <c r="CP33" s="461">
        <f t="shared" si="17"/>
        <v>1.85</v>
      </c>
      <c r="CQ33" s="460"/>
      <c r="CR33" s="253"/>
      <c r="CS33" s="561"/>
      <c r="CT33" s="563"/>
    </row>
    <row r="34" spans="1:98" s="466" customFormat="1" ht="51" customHeight="1" x14ac:dyDescent="0.5">
      <c r="A34" s="462" t="s">
        <v>884</v>
      </c>
      <c r="B34" s="470" t="s">
        <v>901</v>
      </c>
      <c r="C34" s="460" t="str">
        <f t="shared" si="11"/>
        <v>J_2024_1.2.2.1.12</v>
      </c>
      <c r="D34" s="460" t="s">
        <v>823</v>
      </c>
      <c r="E34" s="460">
        <v>2024</v>
      </c>
      <c r="F34" s="460">
        <v>2024</v>
      </c>
      <c r="G34" s="460" t="s">
        <v>621</v>
      </c>
      <c r="H34" s="461">
        <v>10.7</v>
      </c>
      <c r="I34" s="461">
        <f t="shared" si="8"/>
        <v>10.7</v>
      </c>
      <c r="J34" s="471">
        <v>43709</v>
      </c>
      <c r="K34" s="461">
        <f t="shared" si="23"/>
        <v>10.7</v>
      </c>
      <c r="L34" s="461">
        <f t="shared" si="23"/>
        <v>10.7</v>
      </c>
      <c r="M34" s="471">
        <v>43709</v>
      </c>
      <c r="N34" s="460" t="s">
        <v>621</v>
      </c>
      <c r="O34" s="460" t="s">
        <v>621</v>
      </c>
      <c r="P34" s="461">
        <f t="shared" si="9"/>
        <v>10.7</v>
      </c>
      <c r="Q34" s="461">
        <v>12.84</v>
      </c>
      <c r="R34" s="461">
        <f t="shared" si="21"/>
        <v>10.7</v>
      </c>
      <c r="S34" s="461">
        <f t="shared" si="12"/>
        <v>13.93</v>
      </c>
      <c r="T34" s="461">
        <v>12.84</v>
      </c>
      <c r="U34" s="661">
        <v>13.93</v>
      </c>
      <c r="V34" s="460" t="s">
        <v>621</v>
      </c>
      <c r="W34" s="460" t="s">
        <v>621</v>
      </c>
      <c r="X34" s="460" t="s">
        <v>621</v>
      </c>
      <c r="Y34" s="460" t="s">
        <v>621</v>
      </c>
      <c r="Z34" s="460" t="s">
        <v>621</v>
      </c>
      <c r="AA34" s="460" t="s">
        <v>621</v>
      </c>
      <c r="AB34" s="460" t="s">
        <v>621</v>
      </c>
      <c r="AC34" s="460" t="s">
        <v>621</v>
      </c>
      <c r="AD34" s="460" t="s">
        <v>621</v>
      </c>
      <c r="AE34" s="460" t="s">
        <v>621</v>
      </c>
      <c r="AF34" s="460" t="s">
        <v>621</v>
      </c>
      <c r="AG34" s="460" t="s">
        <v>621</v>
      </c>
      <c r="AH34" s="460" t="s">
        <v>621</v>
      </c>
      <c r="AI34" s="460">
        <v>0</v>
      </c>
      <c r="AJ34" s="460" t="s">
        <v>621</v>
      </c>
      <c r="AK34" s="460" t="s">
        <v>621</v>
      </c>
      <c r="AL34" s="460">
        <v>0</v>
      </c>
      <c r="AM34" s="460">
        <v>0</v>
      </c>
      <c r="AN34" s="460">
        <f t="shared" si="18"/>
        <v>0</v>
      </c>
      <c r="AO34" s="460" t="s">
        <v>621</v>
      </c>
      <c r="AP34" s="460" t="s">
        <v>621</v>
      </c>
      <c r="AQ34" s="460" t="s">
        <v>621</v>
      </c>
      <c r="AR34" s="460">
        <f t="shared" si="19"/>
        <v>0</v>
      </c>
      <c r="AS34" s="460">
        <v>0</v>
      </c>
      <c r="AT34" s="460" t="s">
        <v>621</v>
      </c>
      <c r="AU34" s="460" t="s">
        <v>621</v>
      </c>
      <c r="AV34" s="460">
        <v>0</v>
      </c>
      <c r="AW34" s="460">
        <v>0</v>
      </c>
      <c r="AX34" s="461">
        <f t="shared" si="20"/>
        <v>0</v>
      </c>
      <c r="AY34" s="460" t="s">
        <v>621</v>
      </c>
      <c r="AZ34" s="460" t="s">
        <v>621</v>
      </c>
      <c r="BA34" s="460" t="s">
        <v>621</v>
      </c>
      <c r="BB34" s="461">
        <f t="shared" si="22"/>
        <v>0</v>
      </c>
      <c r="BC34" s="460">
        <v>0</v>
      </c>
      <c r="BD34" s="460" t="s">
        <v>621</v>
      </c>
      <c r="BE34" s="460" t="s">
        <v>621</v>
      </c>
      <c r="BF34" s="460">
        <v>0</v>
      </c>
      <c r="BG34" s="460">
        <v>0</v>
      </c>
      <c r="BH34" s="460" t="s">
        <v>621</v>
      </c>
      <c r="BI34" s="460" t="s">
        <v>621</v>
      </c>
      <c r="BJ34" s="460" t="s">
        <v>621</v>
      </c>
      <c r="BK34" s="460" t="s">
        <v>621</v>
      </c>
      <c r="BL34" s="460" t="s">
        <v>621</v>
      </c>
      <c r="BM34" s="460">
        <v>0</v>
      </c>
      <c r="BN34" s="460" t="s">
        <v>621</v>
      </c>
      <c r="BO34" s="460" t="s">
        <v>621</v>
      </c>
      <c r="BP34" s="460">
        <v>0</v>
      </c>
      <c r="BQ34" s="460">
        <v>0</v>
      </c>
      <c r="BR34" s="460" t="s">
        <v>621</v>
      </c>
      <c r="BS34" s="460" t="s">
        <v>621</v>
      </c>
      <c r="BT34" s="460" t="s">
        <v>621</v>
      </c>
      <c r="BU34" s="460" t="s">
        <v>621</v>
      </c>
      <c r="BV34" s="460" t="s">
        <v>621</v>
      </c>
      <c r="BW34" s="461">
        <f>CL34</f>
        <v>13.93</v>
      </c>
      <c r="BX34" s="460" t="s">
        <v>621</v>
      </c>
      <c r="BY34" s="460" t="s">
        <v>621</v>
      </c>
      <c r="BZ34" s="461">
        <v>0</v>
      </c>
      <c r="CA34" s="461">
        <f>BW34</f>
        <v>13.93</v>
      </c>
      <c r="CB34" s="461">
        <f>CF34</f>
        <v>13.93</v>
      </c>
      <c r="CC34" s="460" t="s">
        <v>621</v>
      </c>
      <c r="CD34" s="460" t="s">
        <v>621</v>
      </c>
      <c r="CE34" s="460" t="s">
        <v>621</v>
      </c>
      <c r="CF34" s="461">
        <f>CA34</f>
        <v>13.93</v>
      </c>
      <c r="CG34" s="461">
        <f>CK34</f>
        <v>12.84</v>
      </c>
      <c r="CH34" s="460" t="s">
        <v>621</v>
      </c>
      <c r="CI34" s="460" t="s">
        <v>621</v>
      </c>
      <c r="CJ34" s="461">
        <v>0</v>
      </c>
      <c r="CK34" s="461">
        <f t="shared" si="14"/>
        <v>12.84</v>
      </c>
      <c r="CL34" s="461">
        <f t="shared" si="15"/>
        <v>13.93</v>
      </c>
      <c r="CM34" s="460" t="s">
        <v>621</v>
      </c>
      <c r="CN34" s="460" t="s">
        <v>621</v>
      </c>
      <c r="CO34" s="461">
        <f t="shared" si="16"/>
        <v>0</v>
      </c>
      <c r="CP34" s="461">
        <f t="shared" si="17"/>
        <v>13.93</v>
      </c>
      <c r="CQ34" s="460"/>
      <c r="CR34" s="253"/>
      <c r="CS34" s="561"/>
      <c r="CT34" s="563"/>
    </row>
    <row r="35" spans="1:98" s="466" customFormat="1" ht="81.75" customHeight="1" x14ac:dyDescent="0.5">
      <c r="A35" s="462" t="s">
        <v>1659</v>
      </c>
      <c r="B35" s="470" t="s">
        <v>1671</v>
      </c>
      <c r="C35" s="460" t="str">
        <f t="shared" si="11"/>
        <v>J_2021_1.2.2.1.13</v>
      </c>
      <c r="D35" s="460" t="s">
        <v>823</v>
      </c>
      <c r="E35" s="460">
        <v>2021</v>
      </c>
      <c r="F35" s="460" t="s">
        <v>621</v>
      </c>
      <c r="G35" s="460">
        <v>2021</v>
      </c>
      <c r="H35" s="461">
        <v>0</v>
      </c>
      <c r="I35" s="461">
        <f t="shared" si="8"/>
        <v>0</v>
      </c>
      <c r="J35" s="471" t="s">
        <v>621</v>
      </c>
      <c r="K35" s="461">
        <v>6.42</v>
      </c>
      <c r="L35" s="461">
        <f t="shared" ref="L35:L45" si="24">K35</f>
        <v>6.42</v>
      </c>
      <c r="M35" s="471">
        <v>44237</v>
      </c>
      <c r="N35" s="460" t="s">
        <v>621</v>
      </c>
      <c r="O35" s="460" t="s">
        <v>621</v>
      </c>
      <c r="P35" s="461">
        <f t="shared" si="9"/>
        <v>0</v>
      </c>
      <c r="Q35" s="461">
        <v>0</v>
      </c>
      <c r="R35" s="461">
        <f>L35</f>
        <v>6.42</v>
      </c>
      <c r="S35" s="461">
        <f t="shared" si="12"/>
        <v>6.42</v>
      </c>
      <c r="T35" s="461">
        <v>0</v>
      </c>
      <c r="U35" s="661">
        <v>6.42</v>
      </c>
      <c r="V35" s="460" t="s">
        <v>621</v>
      </c>
      <c r="W35" s="460" t="s">
        <v>621</v>
      </c>
      <c r="X35" s="460" t="s">
        <v>621</v>
      </c>
      <c r="Y35" s="460" t="s">
        <v>621</v>
      </c>
      <c r="Z35" s="460" t="s">
        <v>621</v>
      </c>
      <c r="AA35" s="460" t="s">
        <v>621</v>
      </c>
      <c r="AB35" s="460" t="s">
        <v>621</v>
      </c>
      <c r="AC35" s="460" t="s">
        <v>621</v>
      </c>
      <c r="AD35" s="460" t="s">
        <v>621</v>
      </c>
      <c r="AE35" s="460" t="s">
        <v>621</v>
      </c>
      <c r="AF35" s="460" t="s">
        <v>621</v>
      </c>
      <c r="AG35" s="460" t="s">
        <v>621</v>
      </c>
      <c r="AH35" s="460" t="s">
        <v>621</v>
      </c>
      <c r="AI35" s="460">
        <v>0</v>
      </c>
      <c r="AJ35" s="460" t="s">
        <v>621</v>
      </c>
      <c r="AK35" s="460" t="s">
        <v>621</v>
      </c>
      <c r="AL35" s="460">
        <v>0</v>
      </c>
      <c r="AM35" s="460">
        <v>0</v>
      </c>
      <c r="AN35" s="460">
        <f t="shared" si="18"/>
        <v>0</v>
      </c>
      <c r="AO35" s="460" t="s">
        <v>621</v>
      </c>
      <c r="AP35" s="460" t="s">
        <v>621</v>
      </c>
      <c r="AQ35" s="460" t="s">
        <v>621</v>
      </c>
      <c r="AR35" s="460">
        <f t="shared" si="19"/>
        <v>0</v>
      </c>
      <c r="AS35" s="460">
        <v>0</v>
      </c>
      <c r="AT35" s="460" t="s">
        <v>621</v>
      </c>
      <c r="AU35" s="460" t="s">
        <v>621</v>
      </c>
      <c r="AV35" s="460">
        <v>0</v>
      </c>
      <c r="AW35" s="460">
        <v>0</v>
      </c>
      <c r="AX35" s="461">
        <f t="shared" si="20"/>
        <v>6.42</v>
      </c>
      <c r="AY35" s="460" t="s">
        <v>621</v>
      </c>
      <c r="AZ35" s="460" t="s">
        <v>621</v>
      </c>
      <c r="BA35" s="460" t="s">
        <v>621</v>
      </c>
      <c r="BB35" s="461">
        <f>U35</f>
        <v>6.42</v>
      </c>
      <c r="BC35" s="460">
        <v>0</v>
      </c>
      <c r="BD35" s="460" t="s">
        <v>621</v>
      </c>
      <c r="BE35" s="460" t="s">
        <v>621</v>
      </c>
      <c r="BF35" s="460">
        <v>0</v>
      </c>
      <c r="BG35" s="460">
        <v>0</v>
      </c>
      <c r="BH35" s="460" t="s">
        <v>621</v>
      </c>
      <c r="BI35" s="460" t="s">
        <v>621</v>
      </c>
      <c r="BJ35" s="460" t="s">
        <v>621</v>
      </c>
      <c r="BK35" s="460" t="s">
        <v>621</v>
      </c>
      <c r="BL35" s="460" t="s">
        <v>621</v>
      </c>
      <c r="BM35" s="460">
        <v>0</v>
      </c>
      <c r="BN35" s="460" t="s">
        <v>621</v>
      </c>
      <c r="BO35" s="460" t="s">
        <v>621</v>
      </c>
      <c r="BP35" s="460">
        <v>0</v>
      </c>
      <c r="BQ35" s="460">
        <v>0</v>
      </c>
      <c r="BR35" s="460" t="s">
        <v>621</v>
      </c>
      <c r="BS35" s="460" t="s">
        <v>621</v>
      </c>
      <c r="BT35" s="460" t="s">
        <v>621</v>
      </c>
      <c r="BU35" s="460" t="s">
        <v>621</v>
      </c>
      <c r="BV35" s="460" t="s">
        <v>621</v>
      </c>
      <c r="BW35" s="461">
        <v>0</v>
      </c>
      <c r="BX35" s="460" t="s">
        <v>621</v>
      </c>
      <c r="BY35" s="460" t="s">
        <v>621</v>
      </c>
      <c r="BZ35" s="461">
        <v>0</v>
      </c>
      <c r="CA35" s="461">
        <v>0</v>
      </c>
      <c r="CB35" s="461">
        <v>0</v>
      </c>
      <c r="CC35" s="460" t="s">
        <v>621</v>
      </c>
      <c r="CD35" s="460" t="s">
        <v>621</v>
      </c>
      <c r="CE35" s="460" t="s">
        <v>621</v>
      </c>
      <c r="CF35" s="461">
        <v>0</v>
      </c>
      <c r="CG35" s="461">
        <v>0</v>
      </c>
      <c r="CH35" s="460" t="s">
        <v>621</v>
      </c>
      <c r="CI35" s="460" t="s">
        <v>621</v>
      </c>
      <c r="CJ35" s="460" t="s">
        <v>621</v>
      </c>
      <c r="CK35" s="461">
        <f t="shared" si="14"/>
        <v>0</v>
      </c>
      <c r="CL35" s="461">
        <f t="shared" si="15"/>
        <v>6.42</v>
      </c>
      <c r="CM35" s="460" t="s">
        <v>621</v>
      </c>
      <c r="CN35" s="460" t="s">
        <v>621</v>
      </c>
      <c r="CO35" s="461" t="str">
        <f t="shared" si="16"/>
        <v>нд</v>
      </c>
      <c r="CP35" s="461">
        <f t="shared" si="17"/>
        <v>6.42</v>
      </c>
      <c r="CQ35" s="460"/>
      <c r="CR35" s="253"/>
      <c r="CS35" s="561"/>
      <c r="CT35" s="563"/>
    </row>
    <row r="36" spans="1:98" s="466" customFormat="1" ht="73.5" customHeight="1" x14ac:dyDescent="0.5">
      <c r="A36" s="462" t="s">
        <v>1660</v>
      </c>
      <c r="B36" s="470" t="s">
        <v>1672</v>
      </c>
      <c r="C36" s="460" t="str">
        <f t="shared" si="11"/>
        <v>J_2021_1.2.2.1.14</v>
      </c>
      <c r="D36" s="460" t="s">
        <v>823</v>
      </c>
      <c r="E36" s="460">
        <v>2021</v>
      </c>
      <c r="F36" s="460" t="s">
        <v>621</v>
      </c>
      <c r="G36" s="460">
        <v>2021</v>
      </c>
      <c r="H36" s="461">
        <v>0</v>
      </c>
      <c r="I36" s="461">
        <f t="shared" si="8"/>
        <v>0</v>
      </c>
      <c r="J36" s="471" t="s">
        <v>621</v>
      </c>
      <c r="K36" s="461">
        <v>2.35</v>
      </c>
      <c r="L36" s="461">
        <f t="shared" si="24"/>
        <v>2.35</v>
      </c>
      <c r="M36" s="471">
        <v>44237</v>
      </c>
      <c r="N36" s="460" t="s">
        <v>621</v>
      </c>
      <c r="O36" s="460" t="s">
        <v>621</v>
      </c>
      <c r="P36" s="461">
        <f t="shared" si="9"/>
        <v>0</v>
      </c>
      <c r="Q36" s="461">
        <v>0</v>
      </c>
      <c r="R36" s="461">
        <f t="shared" ref="R36:R46" si="25">L36</f>
        <v>2.35</v>
      </c>
      <c r="S36" s="461">
        <v>2.35</v>
      </c>
      <c r="T36" s="461">
        <v>0</v>
      </c>
      <c r="U36" s="661">
        <f>S36</f>
        <v>2.35</v>
      </c>
      <c r="V36" s="460" t="s">
        <v>621</v>
      </c>
      <c r="W36" s="460" t="s">
        <v>621</v>
      </c>
      <c r="X36" s="460" t="s">
        <v>621</v>
      </c>
      <c r="Y36" s="460" t="s">
        <v>621</v>
      </c>
      <c r="Z36" s="460" t="s">
        <v>621</v>
      </c>
      <c r="AA36" s="460" t="s">
        <v>621</v>
      </c>
      <c r="AB36" s="460" t="s">
        <v>621</v>
      </c>
      <c r="AC36" s="460" t="s">
        <v>621</v>
      </c>
      <c r="AD36" s="460" t="s">
        <v>621</v>
      </c>
      <c r="AE36" s="460" t="s">
        <v>621</v>
      </c>
      <c r="AF36" s="460" t="s">
        <v>621</v>
      </c>
      <c r="AG36" s="460" t="s">
        <v>621</v>
      </c>
      <c r="AH36" s="460" t="s">
        <v>621</v>
      </c>
      <c r="AI36" s="460">
        <v>0</v>
      </c>
      <c r="AJ36" s="460" t="s">
        <v>621</v>
      </c>
      <c r="AK36" s="460" t="s">
        <v>621</v>
      </c>
      <c r="AL36" s="460">
        <v>0</v>
      </c>
      <c r="AM36" s="460">
        <v>0</v>
      </c>
      <c r="AN36" s="460">
        <f t="shared" ref="AN36:AN46" si="26">AI36</f>
        <v>0</v>
      </c>
      <c r="AO36" s="460" t="s">
        <v>621</v>
      </c>
      <c r="AP36" s="460" t="s">
        <v>621</v>
      </c>
      <c r="AQ36" s="460" t="s">
        <v>621</v>
      </c>
      <c r="AR36" s="460">
        <f t="shared" ref="AR36:AR46" si="27">AM36</f>
        <v>0</v>
      </c>
      <c r="AS36" s="460">
        <v>0</v>
      </c>
      <c r="AT36" s="460" t="s">
        <v>621</v>
      </c>
      <c r="AU36" s="460" t="s">
        <v>621</v>
      </c>
      <c r="AV36" s="460">
        <v>0</v>
      </c>
      <c r="AW36" s="460">
        <v>0</v>
      </c>
      <c r="AX36" s="461">
        <f t="shared" si="20"/>
        <v>2.35</v>
      </c>
      <c r="AY36" s="460" t="s">
        <v>621</v>
      </c>
      <c r="AZ36" s="460" t="s">
        <v>621</v>
      </c>
      <c r="BA36" s="460" t="s">
        <v>621</v>
      </c>
      <c r="BB36" s="461">
        <f t="shared" ref="BB36:BB46" si="28">U36</f>
        <v>2.35</v>
      </c>
      <c r="BC36" s="460">
        <v>0</v>
      </c>
      <c r="BD36" s="460" t="s">
        <v>621</v>
      </c>
      <c r="BE36" s="460" t="s">
        <v>621</v>
      </c>
      <c r="BF36" s="460">
        <v>0</v>
      </c>
      <c r="BG36" s="460">
        <v>0</v>
      </c>
      <c r="BH36" s="460" t="s">
        <v>621</v>
      </c>
      <c r="BI36" s="460" t="s">
        <v>621</v>
      </c>
      <c r="BJ36" s="460" t="s">
        <v>621</v>
      </c>
      <c r="BK36" s="460" t="s">
        <v>621</v>
      </c>
      <c r="BL36" s="460" t="s">
        <v>621</v>
      </c>
      <c r="BM36" s="460">
        <v>0</v>
      </c>
      <c r="BN36" s="460" t="s">
        <v>621</v>
      </c>
      <c r="BO36" s="460" t="s">
        <v>621</v>
      </c>
      <c r="BP36" s="460">
        <v>0</v>
      </c>
      <c r="BQ36" s="460">
        <v>0</v>
      </c>
      <c r="BR36" s="460" t="s">
        <v>621</v>
      </c>
      <c r="BS36" s="460" t="s">
        <v>621</v>
      </c>
      <c r="BT36" s="460" t="s">
        <v>621</v>
      </c>
      <c r="BU36" s="460" t="s">
        <v>621</v>
      </c>
      <c r="BV36" s="460" t="s">
        <v>621</v>
      </c>
      <c r="BW36" s="461">
        <v>0</v>
      </c>
      <c r="BX36" s="460" t="s">
        <v>621</v>
      </c>
      <c r="BY36" s="460" t="s">
        <v>621</v>
      </c>
      <c r="BZ36" s="461">
        <v>0</v>
      </c>
      <c r="CA36" s="461">
        <v>0</v>
      </c>
      <c r="CB36" s="461">
        <v>0</v>
      </c>
      <c r="CC36" s="460" t="s">
        <v>621</v>
      </c>
      <c r="CD36" s="460" t="s">
        <v>621</v>
      </c>
      <c r="CE36" s="460" t="s">
        <v>621</v>
      </c>
      <c r="CF36" s="461">
        <v>0</v>
      </c>
      <c r="CG36" s="461">
        <v>0</v>
      </c>
      <c r="CH36" s="460" t="s">
        <v>621</v>
      </c>
      <c r="CI36" s="460" t="s">
        <v>621</v>
      </c>
      <c r="CJ36" s="460" t="s">
        <v>621</v>
      </c>
      <c r="CK36" s="461">
        <f t="shared" si="14"/>
        <v>0</v>
      </c>
      <c r="CL36" s="461">
        <f t="shared" si="15"/>
        <v>2.35</v>
      </c>
      <c r="CM36" s="460" t="s">
        <v>621</v>
      </c>
      <c r="CN36" s="460" t="s">
        <v>621</v>
      </c>
      <c r="CO36" s="461" t="str">
        <f t="shared" si="16"/>
        <v>нд</v>
      </c>
      <c r="CP36" s="461">
        <f t="shared" si="17"/>
        <v>2.35</v>
      </c>
      <c r="CQ36" s="460"/>
      <c r="CR36" s="253"/>
      <c r="CS36" s="561"/>
      <c r="CT36" s="563"/>
    </row>
    <row r="37" spans="1:98" s="466" customFormat="1" ht="92.25" customHeight="1" x14ac:dyDescent="0.5">
      <c r="A37" s="462" t="s">
        <v>1661</v>
      </c>
      <c r="B37" s="470" t="s">
        <v>1673</v>
      </c>
      <c r="C37" s="460" t="str">
        <f t="shared" si="11"/>
        <v>J_2021_1.2.2.1.15</v>
      </c>
      <c r="D37" s="460" t="s">
        <v>823</v>
      </c>
      <c r="E37" s="460">
        <v>2021</v>
      </c>
      <c r="F37" s="460" t="s">
        <v>621</v>
      </c>
      <c r="G37" s="460">
        <v>2021</v>
      </c>
      <c r="H37" s="461">
        <v>0</v>
      </c>
      <c r="I37" s="461">
        <f t="shared" si="8"/>
        <v>0</v>
      </c>
      <c r="J37" s="471" t="s">
        <v>621</v>
      </c>
      <c r="K37" s="461">
        <v>1.5</v>
      </c>
      <c r="L37" s="461">
        <f t="shared" si="24"/>
        <v>1.5</v>
      </c>
      <c r="M37" s="471">
        <v>44237</v>
      </c>
      <c r="N37" s="460" t="s">
        <v>621</v>
      </c>
      <c r="O37" s="460" t="s">
        <v>621</v>
      </c>
      <c r="P37" s="461">
        <f t="shared" si="9"/>
        <v>0</v>
      </c>
      <c r="Q37" s="461">
        <v>0</v>
      </c>
      <c r="R37" s="461">
        <f t="shared" si="25"/>
        <v>1.5</v>
      </c>
      <c r="S37" s="461">
        <f t="shared" si="12"/>
        <v>1.5</v>
      </c>
      <c r="T37" s="461">
        <v>0</v>
      </c>
      <c r="U37" s="661">
        <v>1.5</v>
      </c>
      <c r="V37" s="460" t="s">
        <v>621</v>
      </c>
      <c r="W37" s="460" t="s">
        <v>621</v>
      </c>
      <c r="X37" s="460" t="s">
        <v>621</v>
      </c>
      <c r="Y37" s="460" t="s">
        <v>621</v>
      </c>
      <c r="Z37" s="460" t="s">
        <v>621</v>
      </c>
      <c r="AA37" s="460" t="s">
        <v>621</v>
      </c>
      <c r="AB37" s="460" t="s">
        <v>621</v>
      </c>
      <c r="AC37" s="460" t="s">
        <v>621</v>
      </c>
      <c r="AD37" s="460" t="s">
        <v>621</v>
      </c>
      <c r="AE37" s="460" t="s">
        <v>621</v>
      </c>
      <c r="AF37" s="460" t="s">
        <v>621</v>
      </c>
      <c r="AG37" s="460" t="s">
        <v>621</v>
      </c>
      <c r="AH37" s="460" t="s">
        <v>621</v>
      </c>
      <c r="AI37" s="460">
        <v>0</v>
      </c>
      <c r="AJ37" s="460" t="s">
        <v>621</v>
      </c>
      <c r="AK37" s="460" t="s">
        <v>621</v>
      </c>
      <c r="AL37" s="460">
        <v>0</v>
      </c>
      <c r="AM37" s="460">
        <v>0</v>
      </c>
      <c r="AN37" s="460">
        <f t="shared" si="26"/>
        <v>0</v>
      </c>
      <c r="AO37" s="460" t="s">
        <v>621</v>
      </c>
      <c r="AP37" s="460" t="s">
        <v>621</v>
      </c>
      <c r="AQ37" s="460" t="s">
        <v>621</v>
      </c>
      <c r="AR37" s="460">
        <f t="shared" si="27"/>
        <v>0</v>
      </c>
      <c r="AS37" s="460">
        <v>0</v>
      </c>
      <c r="AT37" s="460" t="s">
        <v>621</v>
      </c>
      <c r="AU37" s="460" t="s">
        <v>621</v>
      </c>
      <c r="AV37" s="460">
        <v>0</v>
      </c>
      <c r="AW37" s="460">
        <v>0</v>
      </c>
      <c r="AX37" s="461">
        <f t="shared" si="20"/>
        <v>1.5</v>
      </c>
      <c r="AY37" s="460" t="s">
        <v>621</v>
      </c>
      <c r="AZ37" s="460" t="s">
        <v>621</v>
      </c>
      <c r="BA37" s="460" t="s">
        <v>621</v>
      </c>
      <c r="BB37" s="461">
        <f t="shared" si="28"/>
        <v>1.5</v>
      </c>
      <c r="BC37" s="460">
        <v>0</v>
      </c>
      <c r="BD37" s="460" t="s">
        <v>621</v>
      </c>
      <c r="BE37" s="460" t="s">
        <v>621</v>
      </c>
      <c r="BF37" s="460">
        <v>0</v>
      </c>
      <c r="BG37" s="460">
        <v>0</v>
      </c>
      <c r="BH37" s="460" t="s">
        <v>621</v>
      </c>
      <c r="BI37" s="460" t="s">
        <v>621</v>
      </c>
      <c r="BJ37" s="460" t="s">
        <v>621</v>
      </c>
      <c r="BK37" s="460" t="s">
        <v>621</v>
      </c>
      <c r="BL37" s="460" t="s">
        <v>621</v>
      </c>
      <c r="BM37" s="460">
        <v>0</v>
      </c>
      <c r="BN37" s="460" t="s">
        <v>621</v>
      </c>
      <c r="BO37" s="460" t="s">
        <v>621</v>
      </c>
      <c r="BP37" s="460">
        <v>0</v>
      </c>
      <c r="BQ37" s="460">
        <v>0</v>
      </c>
      <c r="BR37" s="460" t="s">
        <v>621</v>
      </c>
      <c r="BS37" s="460" t="s">
        <v>621</v>
      </c>
      <c r="BT37" s="460" t="s">
        <v>621</v>
      </c>
      <c r="BU37" s="460" t="s">
        <v>621</v>
      </c>
      <c r="BV37" s="460" t="s">
        <v>621</v>
      </c>
      <c r="BW37" s="461">
        <v>0</v>
      </c>
      <c r="BX37" s="460" t="s">
        <v>621</v>
      </c>
      <c r="BY37" s="460" t="s">
        <v>621</v>
      </c>
      <c r="BZ37" s="461">
        <v>0</v>
      </c>
      <c r="CA37" s="461">
        <v>0</v>
      </c>
      <c r="CB37" s="461">
        <v>0</v>
      </c>
      <c r="CC37" s="460" t="s">
        <v>621</v>
      </c>
      <c r="CD37" s="460" t="s">
        <v>621</v>
      </c>
      <c r="CE37" s="460" t="s">
        <v>621</v>
      </c>
      <c r="CF37" s="461">
        <v>0</v>
      </c>
      <c r="CG37" s="461">
        <v>0</v>
      </c>
      <c r="CH37" s="460" t="s">
        <v>621</v>
      </c>
      <c r="CI37" s="460" t="s">
        <v>621</v>
      </c>
      <c r="CJ37" s="460" t="s">
        <v>621</v>
      </c>
      <c r="CK37" s="461">
        <f t="shared" si="14"/>
        <v>0</v>
      </c>
      <c r="CL37" s="461">
        <f t="shared" si="15"/>
        <v>1.5</v>
      </c>
      <c r="CM37" s="460" t="s">
        <v>621</v>
      </c>
      <c r="CN37" s="460" t="s">
        <v>621</v>
      </c>
      <c r="CO37" s="461" t="str">
        <f t="shared" si="16"/>
        <v>нд</v>
      </c>
      <c r="CP37" s="461">
        <f t="shared" si="17"/>
        <v>1.5</v>
      </c>
      <c r="CQ37" s="460"/>
      <c r="CR37" s="253"/>
      <c r="CS37" s="561"/>
      <c r="CT37" s="563"/>
    </row>
    <row r="38" spans="1:98" s="466" customFormat="1" ht="82.5" customHeight="1" x14ac:dyDescent="0.5">
      <c r="A38" s="462" t="s">
        <v>1662</v>
      </c>
      <c r="B38" s="470" t="s">
        <v>1674</v>
      </c>
      <c r="C38" s="460" t="str">
        <f t="shared" si="11"/>
        <v>J_2021_1.2.2.1.16</v>
      </c>
      <c r="D38" s="460" t="s">
        <v>823</v>
      </c>
      <c r="E38" s="460">
        <v>2021</v>
      </c>
      <c r="F38" s="460" t="s">
        <v>621</v>
      </c>
      <c r="G38" s="460">
        <v>2021</v>
      </c>
      <c r="H38" s="461">
        <v>0</v>
      </c>
      <c r="I38" s="461">
        <f t="shared" si="8"/>
        <v>0</v>
      </c>
      <c r="J38" s="471" t="s">
        <v>621</v>
      </c>
      <c r="K38" s="461">
        <v>1.92</v>
      </c>
      <c r="L38" s="461">
        <f t="shared" si="24"/>
        <v>1.92</v>
      </c>
      <c r="M38" s="471">
        <v>44237</v>
      </c>
      <c r="N38" s="460" t="s">
        <v>621</v>
      </c>
      <c r="O38" s="460" t="s">
        <v>621</v>
      </c>
      <c r="P38" s="461">
        <f t="shared" si="9"/>
        <v>0</v>
      </c>
      <c r="Q38" s="461">
        <v>0</v>
      </c>
      <c r="R38" s="461">
        <f t="shared" si="25"/>
        <v>1.92</v>
      </c>
      <c r="S38" s="461">
        <v>1.92</v>
      </c>
      <c r="T38" s="461">
        <v>0</v>
      </c>
      <c r="U38" s="661">
        <v>1.92</v>
      </c>
      <c r="V38" s="460" t="s">
        <v>621</v>
      </c>
      <c r="W38" s="460" t="s">
        <v>621</v>
      </c>
      <c r="X38" s="460" t="s">
        <v>621</v>
      </c>
      <c r="Y38" s="460" t="s">
        <v>621</v>
      </c>
      <c r="Z38" s="460" t="s">
        <v>621</v>
      </c>
      <c r="AA38" s="460" t="s">
        <v>621</v>
      </c>
      <c r="AB38" s="460" t="s">
        <v>621</v>
      </c>
      <c r="AC38" s="460" t="s">
        <v>621</v>
      </c>
      <c r="AD38" s="460" t="s">
        <v>621</v>
      </c>
      <c r="AE38" s="460" t="s">
        <v>621</v>
      </c>
      <c r="AF38" s="460" t="s">
        <v>621</v>
      </c>
      <c r="AG38" s="460" t="s">
        <v>621</v>
      </c>
      <c r="AH38" s="460" t="s">
        <v>621</v>
      </c>
      <c r="AI38" s="460">
        <v>0</v>
      </c>
      <c r="AJ38" s="460" t="s">
        <v>621</v>
      </c>
      <c r="AK38" s="460" t="s">
        <v>621</v>
      </c>
      <c r="AL38" s="460">
        <v>0</v>
      </c>
      <c r="AM38" s="460">
        <v>0</v>
      </c>
      <c r="AN38" s="460">
        <f t="shared" si="26"/>
        <v>0</v>
      </c>
      <c r="AO38" s="460" t="s">
        <v>621</v>
      </c>
      <c r="AP38" s="460" t="s">
        <v>621</v>
      </c>
      <c r="AQ38" s="460" t="s">
        <v>621</v>
      </c>
      <c r="AR38" s="460">
        <f t="shared" si="27"/>
        <v>0</v>
      </c>
      <c r="AS38" s="460">
        <v>0</v>
      </c>
      <c r="AT38" s="460" t="s">
        <v>621</v>
      </c>
      <c r="AU38" s="460" t="s">
        <v>621</v>
      </c>
      <c r="AV38" s="460">
        <v>0</v>
      </c>
      <c r="AW38" s="460">
        <v>0</v>
      </c>
      <c r="AX38" s="461">
        <f t="shared" si="20"/>
        <v>1.92</v>
      </c>
      <c r="AY38" s="460" t="s">
        <v>621</v>
      </c>
      <c r="AZ38" s="460" t="s">
        <v>621</v>
      </c>
      <c r="BA38" s="460" t="s">
        <v>621</v>
      </c>
      <c r="BB38" s="461">
        <f t="shared" si="28"/>
        <v>1.92</v>
      </c>
      <c r="BC38" s="460">
        <v>0</v>
      </c>
      <c r="BD38" s="460" t="s">
        <v>621</v>
      </c>
      <c r="BE38" s="460" t="s">
        <v>621</v>
      </c>
      <c r="BF38" s="460">
        <v>0</v>
      </c>
      <c r="BG38" s="460">
        <v>0</v>
      </c>
      <c r="BH38" s="460" t="s">
        <v>621</v>
      </c>
      <c r="BI38" s="460" t="s">
        <v>621</v>
      </c>
      <c r="BJ38" s="460" t="s">
        <v>621</v>
      </c>
      <c r="BK38" s="460" t="s">
        <v>621</v>
      </c>
      <c r="BL38" s="460" t="s">
        <v>621</v>
      </c>
      <c r="BM38" s="460">
        <v>0</v>
      </c>
      <c r="BN38" s="460" t="s">
        <v>621</v>
      </c>
      <c r="BO38" s="460" t="s">
        <v>621</v>
      </c>
      <c r="BP38" s="460">
        <v>0</v>
      </c>
      <c r="BQ38" s="460">
        <v>0</v>
      </c>
      <c r="BR38" s="460" t="s">
        <v>621</v>
      </c>
      <c r="BS38" s="460" t="s">
        <v>621</v>
      </c>
      <c r="BT38" s="460" t="s">
        <v>621</v>
      </c>
      <c r="BU38" s="460" t="s">
        <v>621</v>
      </c>
      <c r="BV38" s="460" t="s">
        <v>621</v>
      </c>
      <c r="BW38" s="461">
        <v>0</v>
      </c>
      <c r="BX38" s="460" t="s">
        <v>621</v>
      </c>
      <c r="BY38" s="460" t="s">
        <v>621</v>
      </c>
      <c r="BZ38" s="461">
        <v>0</v>
      </c>
      <c r="CA38" s="461">
        <v>0</v>
      </c>
      <c r="CB38" s="461">
        <v>0</v>
      </c>
      <c r="CC38" s="460" t="s">
        <v>621</v>
      </c>
      <c r="CD38" s="460" t="s">
        <v>621</v>
      </c>
      <c r="CE38" s="460" t="s">
        <v>621</v>
      </c>
      <c r="CF38" s="461">
        <v>0</v>
      </c>
      <c r="CG38" s="461">
        <v>0</v>
      </c>
      <c r="CH38" s="460" t="s">
        <v>621</v>
      </c>
      <c r="CI38" s="460" t="s">
        <v>621</v>
      </c>
      <c r="CJ38" s="460" t="s">
        <v>621</v>
      </c>
      <c r="CK38" s="461">
        <f t="shared" si="14"/>
        <v>0</v>
      </c>
      <c r="CL38" s="461">
        <f t="shared" si="15"/>
        <v>1.92</v>
      </c>
      <c r="CM38" s="460" t="s">
        <v>621</v>
      </c>
      <c r="CN38" s="460" t="s">
        <v>621</v>
      </c>
      <c r="CO38" s="461" t="str">
        <f t="shared" si="16"/>
        <v>нд</v>
      </c>
      <c r="CP38" s="461">
        <f t="shared" si="17"/>
        <v>1.92</v>
      </c>
      <c r="CQ38" s="460"/>
      <c r="CR38" s="253"/>
      <c r="CS38" s="561"/>
      <c r="CT38" s="563"/>
    </row>
    <row r="39" spans="1:98" s="466" customFormat="1" ht="80.25" customHeight="1" x14ac:dyDescent="0.5">
      <c r="A39" s="462" t="s">
        <v>1663</v>
      </c>
      <c r="B39" s="470" t="s">
        <v>1675</v>
      </c>
      <c r="C39" s="460" t="str">
        <f t="shared" si="11"/>
        <v>J_2021_1.2.2.1.17</v>
      </c>
      <c r="D39" s="460" t="s">
        <v>823</v>
      </c>
      <c r="E39" s="460">
        <v>2021</v>
      </c>
      <c r="F39" s="460" t="s">
        <v>621</v>
      </c>
      <c r="G39" s="460">
        <v>2021</v>
      </c>
      <c r="H39" s="461">
        <v>0</v>
      </c>
      <c r="I39" s="461">
        <f t="shared" si="8"/>
        <v>0</v>
      </c>
      <c r="J39" s="471" t="s">
        <v>621</v>
      </c>
      <c r="K39" s="461">
        <v>0.96</v>
      </c>
      <c r="L39" s="461">
        <f t="shared" si="24"/>
        <v>0.96</v>
      </c>
      <c r="M39" s="471">
        <v>44237</v>
      </c>
      <c r="N39" s="460" t="s">
        <v>621</v>
      </c>
      <c r="O39" s="460" t="s">
        <v>621</v>
      </c>
      <c r="P39" s="461">
        <f t="shared" si="9"/>
        <v>0</v>
      </c>
      <c r="Q39" s="461">
        <v>0</v>
      </c>
      <c r="R39" s="461">
        <f t="shared" si="25"/>
        <v>0.96</v>
      </c>
      <c r="S39" s="461">
        <v>0.96</v>
      </c>
      <c r="T39" s="461">
        <v>0</v>
      </c>
      <c r="U39" s="661">
        <v>0.96</v>
      </c>
      <c r="V39" s="460" t="s">
        <v>621</v>
      </c>
      <c r="W39" s="460" t="s">
        <v>621</v>
      </c>
      <c r="X39" s="460" t="s">
        <v>621</v>
      </c>
      <c r="Y39" s="460" t="s">
        <v>621</v>
      </c>
      <c r="Z39" s="460" t="s">
        <v>621</v>
      </c>
      <c r="AA39" s="460" t="s">
        <v>621</v>
      </c>
      <c r="AB39" s="460" t="s">
        <v>621</v>
      </c>
      <c r="AC39" s="460" t="s">
        <v>621</v>
      </c>
      <c r="AD39" s="460" t="s">
        <v>621</v>
      </c>
      <c r="AE39" s="460" t="s">
        <v>621</v>
      </c>
      <c r="AF39" s="460" t="s">
        <v>621</v>
      </c>
      <c r="AG39" s="460" t="s">
        <v>621</v>
      </c>
      <c r="AH39" s="460" t="s">
        <v>621</v>
      </c>
      <c r="AI39" s="460">
        <v>0</v>
      </c>
      <c r="AJ39" s="460" t="s">
        <v>621</v>
      </c>
      <c r="AK39" s="460" t="s">
        <v>621</v>
      </c>
      <c r="AL39" s="460">
        <v>0</v>
      </c>
      <c r="AM39" s="460">
        <v>0</v>
      </c>
      <c r="AN39" s="460">
        <f t="shared" si="26"/>
        <v>0</v>
      </c>
      <c r="AO39" s="460" t="s">
        <v>621</v>
      </c>
      <c r="AP39" s="460" t="s">
        <v>621</v>
      </c>
      <c r="AQ39" s="460" t="s">
        <v>621</v>
      </c>
      <c r="AR39" s="460">
        <f t="shared" si="27"/>
        <v>0</v>
      </c>
      <c r="AS39" s="460">
        <v>0</v>
      </c>
      <c r="AT39" s="460" t="s">
        <v>621</v>
      </c>
      <c r="AU39" s="460" t="s">
        <v>621</v>
      </c>
      <c r="AV39" s="460">
        <v>0</v>
      </c>
      <c r="AW39" s="460">
        <v>0</v>
      </c>
      <c r="AX39" s="461">
        <f t="shared" si="20"/>
        <v>0.96</v>
      </c>
      <c r="AY39" s="460" t="s">
        <v>621</v>
      </c>
      <c r="AZ39" s="460" t="s">
        <v>621</v>
      </c>
      <c r="BA39" s="460" t="s">
        <v>621</v>
      </c>
      <c r="BB39" s="461">
        <f t="shared" si="28"/>
        <v>0.96</v>
      </c>
      <c r="BC39" s="460">
        <v>0</v>
      </c>
      <c r="BD39" s="460" t="s">
        <v>621</v>
      </c>
      <c r="BE39" s="460" t="s">
        <v>621</v>
      </c>
      <c r="BF39" s="460">
        <v>0</v>
      </c>
      <c r="BG39" s="460">
        <v>0</v>
      </c>
      <c r="BH39" s="460" t="s">
        <v>621</v>
      </c>
      <c r="BI39" s="460" t="s">
        <v>621</v>
      </c>
      <c r="BJ39" s="460" t="s">
        <v>621</v>
      </c>
      <c r="BK39" s="460" t="s">
        <v>621</v>
      </c>
      <c r="BL39" s="460" t="s">
        <v>621</v>
      </c>
      <c r="BM39" s="460">
        <v>0</v>
      </c>
      <c r="BN39" s="460" t="s">
        <v>621</v>
      </c>
      <c r="BO39" s="460" t="s">
        <v>621</v>
      </c>
      <c r="BP39" s="460">
        <v>0</v>
      </c>
      <c r="BQ39" s="460">
        <v>0</v>
      </c>
      <c r="BR39" s="460" t="s">
        <v>621</v>
      </c>
      <c r="BS39" s="460" t="s">
        <v>621</v>
      </c>
      <c r="BT39" s="460" t="s">
        <v>621</v>
      </c>
      <c r="BU39" s="460" t="s">
        <v>621</v>
      </c>
      <c r="BV39" s="460" t="s">
        <v>621</v>
      </c>
      <c r="BW39" s="461">
        <v>0</v>
      </c>
      <c r="BX39" s="460" t="s">
        <v>621</v>
      </c>
      <c r="BY39" s="460" t="s">
        <v>621</v>
      </c>
      <c r="BZ39" s="461">
        <v>0</v>
      </c>
      <c r="CA39" s="461">
        <v>0</v>
      </c>
      <c r="CB39" s="461">
        <v>0</v>
      </c>
      <c r="CC39" s="460" t="s">
        <v>621</v>
      </c>
      <c r="CD39" s="460" t="s">
        <v>621</v>
      </c>
      <c r="CE39" s="460" t="s">
        <v>621</v>
      </c>
      <c r="CF39" s="461">
        <v>0</v>
      </c>
      <c r="CG39" s="461">
        <v>0</v>
      </c>
      <c r="CH39" s="460" t="s">
        <v>621</v>
      </c>
      <c r="CI39" s="460" t="s">
        <v>621</v>
      </c>
      <c r="CJ39" s="460" t="s">
        <v>621</v>
      </c>
      <c r="CK39" s="461">
        <f t="shared" si="14"/>
        <v>0</v>
      </c>
      <c r="CL39" s="461">
        <f t="shared" si="15"/>
        <v>0.96</v>
      </c>
      <c r="CM39" s="460" t="s">
        <v>621</v>
      </c>
      <c r="CN39" s="460" t="s">
        <v>621</v>
      </c>
      <c r="CO39" s="461" t="str">
        <f t="shared" si="16"/>
        <v>нд</v>
      </c>
      <c r="CP39" s="461">
        <f t="shared" si="17"/>
        <v>0.96</v>
      </c>
      <c r="CQ39" s="460"/>
      <c r="CR39" s="253"/>
      <c r="CS39" s="561"/>
      <c r="CT39" s="563"/>
    </row>
    <row r="40" spans="1:98" s="466" customFormat="1" ht="78" customHeight="1" x14ac:dyDescent="0.5">
      <c r="A40" s="462" t="s">
        <v>1664</v>
      </c>
      <c r="B40" s="470" t="s">
        <v>1676</v>
      </c>
      <c r="C40" s="460" t="str">
        <f t="shared" si="11"/>
        <v>J_2021_1.2.2.1.18</v>
      </c>
      <c r="D40" s="460" t="s">
        <v>823</v>
      </c>
      <c r="E40" s="460">
        <v>2021</v>
      </c>
      <c r="F40" s="460" t="s">
        <v>621</v>
      </c>
      <c r="G40" s="460">
        <v>2021</v>
      </c>
      <c r="H40" s="461">
        <v>0</v>
      </c>
      <c r="I40" s="461">
        <f t="shared" si="8"/>
        <v>0</v>
      </c>
      <c r="J40" s="471" t="s">
        <v>621</v>
      </c>
      <c r="K40" s="461">
        <v>0.78</v>
      </c>
      <c r="L40" s="461">
        <f t="shared" si="24"/>
        <v>0.78</v>
      </c>
      <c r="M40" s="471">
        <v>44237</v>
      </c>
      <c r="N40" s="460" t="s">
        <v>621</v>
      </c>
      <c r="O40" s="460" t="s">
        <v>621</v>
      </c>
      <c r="P40" s="461">
        <f t="shared" si="9"/>
        <v>0</v>
      </c>
      <c r="Q40" s="461">
        <v>0</v>
      </c>
      <c r="R40" s="461">
        <f t="shared" si="25"/>
        <v>0.78</v>
      </c>
      <c r="S40" s="461">
        <f t="shared" si="12"/>
        <v>0.78</v>
      </c>
      <c r="T40" s="461">
        <v>0</v>
      </c>
      <c r="U40" s="661">
        <v>0.78</v>
      </c>
      <c r="V40" s="460" t="s">
        <v>621</v>
      </c>
      <c r="W40" s="460" t="s">
        <v>621</v>
      </c>
      <c r="X40" s="460" t="s">
        <v>621</v>
      </c>
      <c r="Y40" s="460" t="s">
        <v>621</v>
      </c>
      <c r="Z40" s="460" t="s">
        <v>621</v>
      </c>
      <c r="AA40" s="460" t="s">
        <v>621</v>
      </c>
      <c r="AB40" s="460" t="s">
        <v>621</v>
      </c>
      <c r="AC40" s="460" t="s">
        <v>621</v>
      </c>
      <c r="AD40" s="460" t="s">
        <v>621</v>
      </c>
      <c r="AE40" s="460" t="s">
        <v>621</v>
      </c>
      <c r="AF40" s="460" t="s">
        <v>621</v>
      </c>
      <c r="AG40" s="460" t="s">
        <v>621</v>
      </c>
      <c r="AH40" s="460" t="s">
        <v>621</v>
      </c>
      <c r="AI40" s="460">
        <v>0</v>
      </c>
      <c r="AJ40" s="460" t="s">
        <v>621</v>
      </c>
      <c r="AK40" s="460" t="s">
        <v>621</v>
      </c>
      <c r="AL40" s="460">
        <v>0</v>
      </c>
      <c r="AM40" s="460">
        <v>0</v>
      </c>
      <c r="AN40" s="460">
        <f t="shared" si="26"/>
        <v>0</v>
      </c>
      <c r="AO40" s="460" t="s">
        <v>621</v>
      </c>
      <c r="AP40" s="460" t="s">
        <v>621</v>
      </c>
      <c r="AQ40" s="460" t="s">
        <v>621</v>
      </c>
      <c r="AR40" s="460">
        <f t="shared" si="27"/>
        <v>0</v>
      </c>
      <c r="AS40" s="460">
        <v>0</v>
      </c>
      <c r="AT40" s="460" t="s">
        <v>621</v>
      </c>
      <c r="AU40" s="460" t="s">
        <v>621</v>
      </c>
      <c r="AV40" s="460">
        <v>0</v>
      </c>
      <c r="AW40" s="460">
        <v>0</v>
      </c>
      <c r="AX40" s="461">
        <f t="shared" si="20"/>
        <v>0.78</v>
      </c>
      <c r="AY40" s="460" t="s">
        <v>621</v>
      </c>
      <c r="AZ40" s="460" t="s">
        <v>621</v>
      </c>
      <c r="BA40" s="460" t="s">
        <v>621</v>
      </c>
      <c r="BB40" s="461">
        <f t="shared" si="28"/>
        <v>0.78</v>
      </c>
      <c r="BC40" s="460">
        <v>0</v>
      </c>
      <c r="BD40" s="460" t="s">
        <v>621</v>
      </c>
      <c r="BE40" s="460" t="s">
        <v>621</v>
      </c>
      <c r="BF40" s="460">
        <v>0</v>
      </c>
      <c r="BG40" s="460">
        <v>0</v>
      </c>
      <c r="BH40" s="460" t="s">
        <v>621</v>
      </c>
      <c r="BI40" s="460" t="s">
        <v>621</v>
      </c>
      <c r="BJ40" s="460" t="s">
        <v>621</v>
      </c>
      <c r="BK40" s="460" t="s">
        <v>621</v>
      </c>
      <c r="BL40" s="460" t="s">
        <v>621</v>
      </c>
      <c r="BM40" s="460">
        <v>0</v>
      </c>
      <c r="BN40" s="460" t="s">
        <v>621</v>
      </c>
      <c r="BO40" s="460" t="s">
        <v>621</v>
      </c>
      <c r="BP40" s="460">
        <v>0</v>
      </c>
      <c r="BQ40" s="460">
        <v>0</v>
      </c>
      <c r="BR40" s="460" t="s">
        <v>621</v>
      </c>
      <c r="BS40" s="460" t="s">
        <v>621</v>
      </c>
      <c r="BT40" s="460" t="s">
        <v>621</v>
      </c>
      <c r="BU40" s="460" t="s">
        <v>621</v>
      </c>
      <c r="BV40" s="460" t="s">
        <v>621</v>
      </c>
      <c r="BW40" s="461">
        <v>0</v>
      </c>
      <c r="BX40" s="460" t="s">
        <v>621</v>
      </c>
      <c r="BY40" s="460" t="s">
        <v>621</v>
      </c>
      <c r="BZ40" s="461">
        <v>0</v>
      </c>
      <c r="CA40" s="461">
        <v>0</v>
      </c>
      <c r="CB40" s="461">
        <v>0</v>
      </c>
      <c r="CC40" s="460" t="s">
        <v>621</v>
      </c>
      <c r="CD40" s="460" t="s">
        <v>621</v>
      </c>
      <c r="CE40" s="460" t="s">
        <v>621</v>
      </c>
      <c r="CF40" s="461">
        <v>0</v>
      </c>
      <c r="CG40" s="461">
        <v>0</v>
      </c>
      <c r="CH40" s="460" t="s">
        <v>621</v>
      </c>
      <c r="CI40" s="460" t="s">
        <v>621</v>
      </c>
      <c r="CJ40" s="460" t="s">
        <v>621</v>
      </c>
      <c r="CK40" s="461">
        <f t="shared" si="14"/>
        <v>0</v>
      </c>
      <c r="CL40" s="461">
        <f t="shared" si="15"/>
        <v>0.78</v>
      </c>
      <c r="CM40" s="460" t="s">
        <v>621</v>
      </c>
      <c r="CN40" s="460" t="s">
        <v>621</v>
      </c>
      <c r="CO40" s="461" t="str">
        <f t="shared" si="16"/>
        <v>нд</v>
      </c>
      <c r="CP40" s="461">
        <f t="shared" si="17"/>
        <v>0.78</v>
      </c>
      <c r="CQ40" s="460"/>
      <c r="CR40" s="253"/>
      <c r="CS40" s="561"/>
      <c r="CT40" s="563"/>
    </row>
    <row r="41" spans="1:98" s="466" customFormat="1" ht="70.5" customHeight="1" x14ac:dyDescent="0.5">
      <c r="A41" s="462" t="s">
        <v>1665</v>
      </c>
      <c r="B41" s="470" t="s">
        <v>1677</v>
      </c>
      <c r="C41" s="460" t="str">
        <f t="shared" si="11"/>
        <v>J_2021_1.2.2.1.19</v>
      </c>
      <c r="D41" s="460" t="s">
        <v>823</v>
      </c>
      <c r="E41" s="460">
        <v>2021</v>
      </c>
      <c r="F41" s="460" t="s">
        <v>621</v>
      </c>
      <c r="G41" s="460">
        <v>2021</v>
      </c>
      <c r="H41" s="461">
        <v>0</v>
      </c>
      <c r="I41" s="461">
        <f t="shared" si="8"/>
        <v>0</v>
      </c>
      <c r="J41" s="471" t="s">
        <v>621</v>
      </c>
      <c r="K41" s="461">
        <v>0.24</v>
      </c>
      <c r="L41" s="461">
        <f t="shared" si="24"/>
        <v>0.24</v>
      </c>
      <c r="M41" s="471">
        <v>44237</v>
      </c>
      <c r="N41" s="460" t="s">
        <v>621</v>
      </c>
      <c r="O41" s="460" t="s">
        <v>621</v>
      </c>
      <c r="P41" s="461">
        <f t="shared" si="9"/>
        <v>0</v>
      </c>
      <c r="Q41" s="461">
        <v>0</v>
      </c>
      <c r="R41" s="461">
        <f t="shared" si="25"/>
        <v>0.24</v>
      </c>
      <c r="S41" s="461">
        <v>0.24</v>
      </c>
      <c r="T41" s="461">
        <v>0</v>
      </c>
      <c r="U41" s="661">
        <f>S41</f>
        <v>0.24</v>
      </c>
      <c r="V41" s="460" t="s">
        <v>621</v>
      </c>
      <c r="W41" s="460" t="s">
        <v>621</v>
      </c>
      <c r="X41" s="460" t="s">
        <v>621</v>
      </c>
      <c r="Y41" s="460" t="s">
        <v>621</v>
      </c>
      <c r="Z41" s="460" t="s">
        <v>621</v>
      </c>
      <c r="AA41" s="460" t="s">
        <v>621</v>
      </c>
      <c r="AB41" s="460" t="s">
        <v>621</v>
      </c>
      <c r="AC41" s="460" t="s">
        <v>621</v>
      </c>
      <c r="AD41" s="460" t="s">
        <v>621</v>
      </c>
      <c r="AE41" s="460" t="s">
        <v>621</v>
      </c>
      <c r="AF41" s="460" t="s">
        <v>621</v>
      </c>
      <c r="AG41" s="460" t="s">
        <v>621</v>
      </c>
      <c r="AH41" s="460" t="s">
        <v>621</v>
      </c>
      <c r="AI41" s="460">
        <v>0</v>
      </c>
      <c r="AJ41" s="460" t="s">
        <v>621</v>
      </c>
      <c r="AK41" s="460" t="s">
        <v>621</v>
      </c>
      <c r="AL41" s="460">
        <v>0</v>
      </c>
      <c r="AM41" s="460">
        <v>0</v>
      </c>
      <c r="AN41" s="460">
        <f t="shared" si="26"/>
        <v>0</v>
      </c>
      <c r="AO41" s="460" t="s">
        <v>621</v>
      </c>
      <c r="AP41" s="460" t="s">
        <v>621</v>
      </c>
      <c r="AQ41" s="460" t="s">
        <v>621</v>
      </c>
      <c r="AR41" s="460">
        <f t="shared" si="27"/>
        <v>0</v>
      </c>
      <c r="AS41" s="460">
        <v>0</v>
      </c>
      <c r="AT41" s="460" t="s">
        <v>621</v>
      </c>
      <c r="AU41" s="460" t="s">
        <v>621</v>
      </c>
      <c r="AV41" s="460">
        <v>0</v>
      </c>
      <c r="AW41" s="460">
        <v>0</v>
      </c>
      <c r="AX41" s="461">
        <f t="shared" si="20"/>
        <v>0.24</v>
      </c>
      <c r="AY41" s="460" t="s">
        <v>621</v>
      </c>
      <c r="AZ41" s="460" t="s">
        <v>621</v>
      </c>
      <c r="BA41" s="460" t="s">
        <v>621</v>
      </c>
      <c r="BB41" s="461">
        <f t="shared" si="28"/>
        <v>0.24</v>
      </c>
      <c r="BC41" s="460">
        <v>0</v>
      </c>
      <c r="BD41" s="460" t="s">
        <v>621</v>
      </c>
      <c r="BE41" s="460" t="s">
        <v>621</v>
      </c>
      <c r="BF41" s="460">
        <v>0</v>
      </c>
      <c r="BG41" s="460">
        <v>0</v>
      </c>
      <c r="BH41" s="460" t="s">
        <v>621</v>
      </c>
      <c r="BI41" s="460" t="s">
        <v>621</v>
      </c>
      <c r="BJ41" s="460" t="s">
        <v>621</v>
      </c>
      <c r="BK41" s="460" t="s">
        <v>621</v>
      </c>
      <c r="BL41" s="460" t="s">
        <v>621</v>
      </c>
      <c r="BM41" s="460">
        <v>0</v>
      </c>
      <c r="BN41" s="460" t="s">
        <v>621</v>
      </c>
      <c r="BO41" s="460" t="s">
        <v>621</v>
      </c>
      <c r="BP41" s="460">
        <v>0</v>
      </c>
      <c r="BQ41" s="460">
        <v>0</v>
      </c>
      <c r="BR41" s="460" t="s">
        <v>621</v>
      </c>
      <c r="BS41" s="460" t="s">
        <v>621</v>
      </c>
      <c r="BT41" s="460" t="s">
        <v>621</v>
      </c>
      <c r="BU41" s="460" t="s">
        <v>621</v>
      </c>
      <c r="BV41" s="460" t="s">
        <v>621</v>
      </c>
      <c r="BW41" s="461">
        <v>0</v>
      </c>
      <c r="BX41" s="460" t="s">
        <v>621</v>
      </c>
      <c r="BY41" s="460" t="s">
        <v>621</v>
      </c>
      <c r="BZ41" s="461">
        <v>0</v>
      </c>
      <c r="CA41" s="461">
        <v>0</v>
      </c>
      <c r="CB41" s="461">
        <v>0</v>
      </c>
      <c r="CC41" s="460" t="s">
        <v>621</v>
      </c>
      <c r="CD41" s="460" t="s">
        <v>621</v>
      </c>
      <c r="CE41" s="460" t="s">
        <v>621</v>
      </c>
      <c r="CF41" s="461">
        <v>0</v>
      </c>
      <c r="CG41" s="461">
        <v>0</v>
      </c>
      <c r="CH41" s="460" t="s">
        <v>621</v>
      </c>
      <c r="CI41" s="460" t="s">
        <v>621</v>
      </c>
      <c r="CJ41" s="460" t="s">
        <v>621</v>
      </c>
      <c r="CK41" s="461">
        <f t="shared" si="14"/>
        <v>0</v>
      </c>
      <c r="CL41" s="461">
        <f t="shared" si="15"/>
        <v>0.24</v>
      </c>
      <c r="CM41" s="460" t="s">
        <v>621</v>
      </c>
      <c r="CN41" s="460" t="s">
        <v>621</v>
      </c>
      <c r="CO41" s="461" t="str">
        <f t="shared" si="16"/>
        <v>нд</v>
      </c>
      <c r="CP41" s="461">
        <f t="shared" si="17"/>
        <v>0.24</v>
      </c>
      <c r="CQ41" s="460"/>
      <c r="CR41" s="253"/>
      <c r="CS41" s="561"/>
      <c r="CT41" s="563"/>
    </row>
    <row r="42" spans="1:98" s="466" customFormat="1" ht="72.75" customHeight="1" x14ac:dyDescent="0.5">
      <c r="A42" s="462" t="s">
        <v>1666</v>
      </c>
      <c r="B42" s="470" t="s">
        <v>1678</v>
      </c>
      <c r="C42" s="460" t="str">
        <f t="shared" si="11"/>
        <v>J_2021_1.2.2.1.20</v>
      </c>
      <c r="D42" s="460" t="s">
        <v>823</v>
      </c>
      <c r="E42" s="460">
        <v>2021</v>
      </c>
      <c r="F42" s="460" t="s">
        <v>621</v>
      </c>
      <c r="G42" s="460">
        <v>2021</v>
      </c>
      <c r="H42" s="461">
        <v>0</v>
      </c>
      <c r="I42" s="461">
        <f t="shared" si="8"/>
        <v>0</v>
      </c>
      <c r="J42" s="471" t="s">
        <v>621</v>
      </c>
      <c r="K42" s="461">
        <v>0.84</v>
      </c>
      <c r="L42" s="461">
        <f t="shared" si="24"/>
        <v>0.84</v>
      </c>
      <c r="M42" s="471">
        <v>44237</v>
      </c>
      <c r="N42" s="460" t="s">
        <v>621</v>
      </c>
      <c r="O42" s="460" t="s">
        <v>621</v>
      </c>
      <c r="P42" s="461">
        <f t="shared" si="9"/>
        <v>0</v>
      </c>
      <c r="Q42" s="461">
        <v>0</v>
      </c>
      <c r="R42" s="461">
        <f t="shared" si="25"/>
        <v>0.84</v>
      </c>
      <c r="S42" s="461">
        <f t="shared" si="12"/>
        <v>0.84</v>
      </c>
      <c r="T42" s="461">
        <v>0</v>
      </c>
      <c r="U42" s="661">
        <v>0.84</v>
      </c>
      <c r="V42" s="460" t="s">
        <v>621</v>
      </c>
      <c r="W42" s="460" t="s">
        <v>621</v>
      </c>
      <c r="X42" s="460" t="s">
        <v>621</v>
      </c>
      <c r="Y42" s="460" t="s">
        <v>621</v>
      </c>
      <c r="Z42" s="460" t="s">
        <v>621</v>
      </c>
      <c r="AA42" s="460" t="s">
        <v>621</v>
      </c>
      <c r="AB42" s="460" t="s">
        <v>621</v>
      </c>
      <c r="AC42" s="460" t="s">
        <v>621</v>
      </c>
      <c r="AD42" s="460" t="s">
        <v>621</v>
      </c>
      <c r="AE42" s="460" t="s">
        <v>621</v>
      </c>
      <c r="AF42" s="460" t="s">
        <v>621</v>
      </c>
      <c r="AG42" s="460" t="s">
        <v>621</v>
      </c>
      <c r="AH42" s="460" t="s">
        <v>621</v>
      </c>
      <c r="AI42" s="460">
        <v>0</v>
      </c>
      <c r="AJ42" s="460" t="s">
        <v>621</v>
      </c>
      <c r="AK42" s="460" t="s">
        <v>621</v>
      </c>
      <c r="AL42" s="460">
        <v>0</v>
      </c>
      <c r="AM42" s="460">
        <v>0</v>
      </c>
      <c r="AN42" s="460">
        <f t="shared" si="26"/>
        <v>0</v>
      </c>
      <c r="AO42" s="460" t="s">
        <v>621</v>
      </c>
      <c r="AP42" s="460" t="s">
        <v>621</v>
      </c>
      <c r="AQ42" s="460" t="s">
        <v>621</v>
      </c>
      <c r="AR42" s="460">
        <f t="shared" si="27"/>
        <v>0</v>
      </c>
      <c r="AS42" s="460">
        <v>0</v>
      </c>
      <c r="AT42" s="460" t="s">
        <v>621</v>
      </c>
      <c r="AU42" s="460" t="s">
        <v>621</v>
      </c>
      <c r="AV42" s="460">
        <v>0</v>
      </c>
      <c r="AW42" s="460">
        <v>0</v>
      </c>
      <c r="AX42" s="461">
        <f t="shared" si="20"/>
        <v>0.84</v>
      </c>
      <c r="AY42" s="460" t="s">
        <v>621</v>
      </c>
      <c r="AZ42" s="460" t="s">
        <v>621</v>
      </c>
      <c r="BA42" s="460" t="s">
        <v>621</v>
      </c>
      <c r="BB42" s="461">
        <f t="shared" si="28"/>
        <v>0.84</v>
      </c>
      <c r="BC42" s="460">
        <v>0</v>
      </c>
      <c r="BD42" s="460" t="s">
        <v>621</v>
      </c>
      <c r="BE42" s="460" t="s">
        <v>621</v>
      </c>
      <c r="BF42" s="460">
        <v>0</v>
      </c>
      <c r="BG42" s="460">
        <v>0</v>
      </c>
      <c r="BH42" s="460" t="s">
        <v>621</v>
      </c>
      <c r="BI42" s="460" t="s">
        <v>621</v>
      </c>
      <c r="BJ42" s="460" t="s">
        <v>621</v>
      </c>
      <c r="BK42" s="460" t="s">
        <v>621</v>
      </c>
      <c r="BL42" s="460" t="s">
        <v>621</v>
      </c>
      <c r="BM42" s="460">
        <v>0</v>
      </c>
      <c r="BN42" s="460" t="s">
        <v>621</v>
      </c>
      <c r="BO42" s="460" t="s">
        <v>621</v>
      </c>
      <c r="BP42" s="460">
        <v>0</v>
      </c>
      <c r="BQ42" s="460">
        <v>0</v>
      </c>
      <c r="BR42" s="460" t="s">
        <v>621</v>
      </c>
      <c r="BS42" s="460" t="s">
        <v>621</v>
      </c>
      <c r="BT42" s="460" t="s">
        <v>621</v>
      </c>
      <c r="BU42" s="460" t="s">
        <v>621</v>
      </c>
      <c r="BV42" s="460" t="s">
        <v>621</v>
      </c>
      <c r="BW42" s="461">
        <v>0</v>
      </c>
      <c r="BX42" s="460" t="s">
        <v>621</v>
      </c>
      <c r="BY42" s="460" t="s">
        <v>621</v>
      </c>
      <c r="BZ42" s="461">
        <v>0</v>
      </c>
      <c r="CA42" s="461">
        <v>0</v>
      </c>
      <c r="CB42" s="461">
        <v>0</v>
      </c>
      <c r="CC42" s="460" t="s">
        <v>621</v>
      </c>
      <c r="CD42" s="460" t="s">
        <v>621</v>
      </c>
      <c r="CE42" s="460" t="s">
        <v>621</v>
      </c>
      <c r="CF42" s="461">
        <v>0</v>
      </c>
      <c r="CG42" s="461">
        <v>0</v>
      </c>
      <c r="CH42" s="460" t="s">
        <v>621</v>
      </c>
      <c r="CI42" s="460" t="s">
        <v>621</v>
      </c>
      <c r="CJ42" s="460" t="s">
        <v>621</v>
      </c>
      <c r="CK42" s="461">
        <f t="shared" si="14"/>
        <v>0</v>
      </c>
      <c r="CL42" s="461">
        <f t="shared" si="15"/>
        <v>0.84</v>
      </c>
      <c r="CM42" s="460" t="s">
        <v>621</v>
      </c>
      <c r="CN42" s="460" t="s">
        <v>621</v>
      </c>
      <c r="CO42" s="461" t="str">
        <f t="shared" si="16"/>
        <v>нд</v>
      </c>
      <c r="CP42" s="461">
        <f t="shared" si="17"/>
        <v>0.84</v>
      </c>
      <c r="CQ42" s="460"/>
      <c r="CR42" s="253"/>
      <c r="CS42" s="561"/>
      <c r="CT42" s="563"/>
    </row>
    <row r="43" spans="1:98" s="466" customFormat="1" ht="82.5" customHeight="1" x14ac:dyDescent="0.5">
      <c r="A43" s="462" t="s">
        <v>1667</v>
      </c>
      <c r="B43" s="470" t="s">
        <v>1679</v>
      </c>
      <c r="C43" s="460" t="str">
        <f t="shared" si="11"/>
        <v>J_2021_1.2.2.1.21</v>
      </c>
      <c r="D43" s="460" t="s">
        <v>823</v>
      </c>
      <c r="E43" s="460">
        <v>2021</v>
      </c>
      <c r="F43" s="460" t="s">
        <v>621</v>
      </c>
      <c r="G43" s="460">
        <v>2021</v>
      </c>
      <c r="H43" s="461">
        <v>0</v>
      </c>
      <c r="I43" s="461">
        <f t="shared" si="8"/>
        <v>0</v>
      </c>
      <c r="J43" s="471" t="s">
        <v>621</v>
      </c>
      <c r="K43" s="461">
        <v>1.08</v>
      </c>
      <c r="L43" s="461">
        <f t="shared" si="24"/>
        <v>1.08</v>
      </c>
      <c r="M43" s="471">
        <v>44237</v>
      </c>
      <c r="N43" s="460" t="s">
        <v>621</v>
      </c>
      <c r="O43" s="460" t="s">
        <v>621</v>
      </c>
      <c r="P43" s="461">
        <f t="shared" si="9"/>
        <v>0</v>
      </c>
      <c r="Q43" s="461">
        <v>0</v>
      </c>
      <c r="R43" s="461">
        <f t="shared" si="25"/>
        <v>1.08</v>
      </c>
      <c r="S43" s="461">
        <f t="shared" si="12"/>
        <v>1.08</v>
      </c>
      <c r="T43" s="461">
        <v>0</v>
      </c>
      <c r="U43" s="661">
        <v>1.08</v>
      </c>
      <c r="V43" s="460" t="s">
        <v>621</v>
      </c>
      <c r="W43" s="460" t="s">
        <v>621</v>
      </c>
      <c r="X43" s="460" t="s">
        <v>621</v>
      </c>
      <c r="Y43" s="460" t="s">
        <v>621</v>
      </c>
      <c r="Z43" s="460" t="s">
        <v>621</v>
      </c>
      <c r="AA43" s="460" t="s">
        <v>621</v>
      </c>
      <c r="AB43" s="460" t="s">
        <v>621</v>
      </c>
      <c r="AC43" s="460" t="s">
        <v>621</v>
      </c>
      <c r="AD43" s="460" t="s">
        <v>621</v>
      </c>
      <c r="AE43" s="460" t="s">
        <v>621</v>
      </c>
      <c r="AF43" s="460" t="s">
        <v>621</v>
      </c>
      <c r="AG43" s="460" t="s">
        <v>621</v>
      </c>
      <c r="AH43" s="460" t="s">
        <v>621</v>
      </c>
      <c r="AI43" s="460">
        <v>0</v>
      </c>
      <c r="AJ43" s="460" t="s">
        <v>621</v>
      </c>
      <c r="AK43" s="460" t="s">
        <v>621</v>
      </c>
      <c r="AL43" s="460">
        <v>0</v>
      </c>
      <c r="AM43" s="460">
        <v>0</v>
      </c>
      <c r="AN43" s="460">
        <f t="shared" si="26"/>
        <v>0</v>
      </c>
      <c r="AO43" s="460" t="s">
        <v>621</v>
      </c>
      <c r="AP43" s="460" t="s">
        <v>621</v>
      </c>
      <c r="AQ43" s="460" t="s">
        <v>621</v>
      </c>
      <c r="AR43" s="460">
        <f t="shared" si="27"/>
        <v>0</v>
      </c>
      <c r="AS43" s="460">
        <v>0</v>
      </c>
      <c r="AT43" s="460" t="s">
        <v>621</v>
      </c>
      <c r="AU43" s="460" t="s">
        <v>621</v>
      </c>
      <c r="AV43" s="460">
        <v>0</v>
      </c>
      <c r="AW43" s="460">
        <v>0</v>
      </c>
      <c r="AX43" s="461">
        <f t="shared" si="20"/>
        <v>1.08</v>
      </c>
      <c r="AY43" s="460" t="s">
        <v>621</v>
      </c>
      <c r="AZ43" s="460" t="s">
        <v>621</v>
      </c>
      <c r="BA43" s="460" t="s">
        <v>621</v>
      </c>
      <c r="BB43" s="461">
        <f t="shared" si="28"/>
        <v>1.08</v>
      </c>
      <c r="BC43" s="460">
        <v>0</v>
      </c>
      <c r="BD43" s="460" t="s">
        <v>621</v>
      </c>
      <c r="BE43" s="460" t="s">
        <v>621</v>
      </c>
      <c r="BF43" s="460">
        <v>0</v>
      </c>
      <c r="BG43" s="460">
        <v>0</v>
      </c>
      <c r="BH43" s="460" t="s">
        <v>621</v>
      </c>
      <c r="BI43" s="460" t="s">
        <v>621</v>
      </c>
      <c r="BJ43" s="460" t="s">
        <v>621</v>
      </c>
      <c r="BK43" s="460" t="s">
        <v>621</v>
      </c>
      <c r="BL43" s="460" t="s">
        <v>621</v>
      </c>
      <c r="BM43" s="460">
        <v>0</v>
      </c>
      <c r="BN43" s="460" t="s">
        <v>621</v>
      </c>
      <c r="BO43" s="460" t="s">
        <v>621</v>
      </c>
      <c r="BP43" s="460">
        <v>0</v>
      </c>
      <c r="BQ43" s="460">
        <v>0</v>
      </c>
      <c r="BR43" s="460" t="s">
        <v>621</v>
      </c>
      <c r="BS43" s="460" t="s">
        <v>621</v>
      </c>
      <c r="BT43" s="460" t="s">
        <v>621</v>
      </c>
      <c r="BU43" s="460" t="s">
        <v>621</v>
      </c>
      <c r="BV43" s="460" t="s">
        <v>621</v>
      </c>
      <c r="BW43" s="461">
        <v>0</v>
      </c>
      <c r="BX43" s="460" t="s">
        <v>621</v>
      </c>
      <c r="BY43" s="460" t="s">
        <v>621</v>
      </c>
      <c r="BZ43" s="461">
        <v>0</v>
      </c>
      <c r="CA43" s="461">
        <v>0</v>
      </c>
      <c r="CB43" s="461">
        <v>0</v>
      </c>
      <c r="CC43" s="460" t="s">
        <v>621</v>
      </c>
      <c r="CD43" s="460" t="s">
        <v>621</v>
      </c>
      <c r="CE43" s="460" t="s">
        <v>621</v>
      </c>
      <c r="CF43" s="461">
        <v>0</v>
      </c>
      <c r="CG43" s="461">
        <v>0</v>
      </c>
      <c r="CH43" s="460" t="s">
        <v>621</v>
      </c>
      <c r="CI43" s="460" t="s">
        <v>621</v>
      </c>
      <c r="CJ43" s="460" t="s">
        <v>621</v>
      </c>
      <c r="CK43" s="461">
        <f t="shared" si="14"/>
        <v>0</v>
      </c>
      <c r="CL43" s="461">
        <f t="shared" si="15"/>
        <v>1.08</v>
      </c>
      <c r="CM43" s="460" t="s">
        <v>621</v>
      </c>
      <c r="CN43" s="460" t="s">
        <v>621</v>
      </c>
      <c r="CO43" s="461" t="str">
        <f t="shared" si="16"/>
        <v>нд</v>
      </c>
      <c r="CP43" s="461">
        <f t="shared" si="17"/>
        <v>1.08</v>
      </c>
      <c r="CQ43" s="460"/>
      <c r="CR43" s="253"/>
      <c r="CS43" s="561"/>
      <c r="CT43" s="563"/>
    </row>
    <row r="44" spans="1:98" s="466" customFormat="1" ht="72.75" customHeight="1" x14ac:dyDescent="0.5">
      <c r="A44" s="462" t="s">
        <v>1668</v>
      </c>
      <c r="B44" s="470" t="s">
        <v>1680</v>
      </c>
      <c r="C44" s="460" t="str">
        <f t="shared" si="11"/>
        <v>J_2021_1.2.2.1.22</v>
      </c>
      <c r="D44" s="460" t="s">
        <v>823</v>
      </c>
      <c r="E44" s="460">
        <v>2021</v>
      </c>
      <c r="F44" s="460" t="s">
        <v>621</v>
      </c>
      <c r="G44" s="460">
        <v>2021</v>
      </c>
      <c r="H44" s="461">
        <v>0</v>
      </c>
      <c r="I44" s="461">
        <f t="shared" si="8"/>
        <v>0</v>
      </c>
      <c r="J44" s="471" t="s">
        <v>621</v>
      </c>
      <c r="K44" s="461">
        <v>0.84</v>
      </c>
      <c r="L44" s="461">
        <f t="shared" si="24"/>
        <v>0.84</v>
      </c>
      <c r="M44" s="471">
        <v>44237</v>
      </c>
      <c r="N44" s="460" t="s">
        <v>621</v>
      </c>
      <c r="O44" s="460" t="s">
        <v>621</v>
      </c>
      <c r="P44" s="461">
        <f t="shared" si="9"/>
        <v>0</v>
      </c>
      <c r="Q44" s="461">
        <v>0</v>
      </c>
      <c r="R44" s="461">
        <f t="shared" si="25"/>
        <v>0.84</v>
      </c>
      <c r="S44" s="461">
        <f t="shared" si="12"/>
        <v>0.84</v>
      </c>
      <c r="T44" s="461">
        <v>0</v>
      </c>
      <c r="U44" s="661">
        <v>0.84</v>
      </c>
      <c r="V44" s="460" t="s">
        <v>621</v>
      </c>
      <c r="W44" s="460" t="s">
        <v>621</v>
      </c>
      <c r="X44" s="460" t="s">
        <v>621</v>
      </c>
      <c r="Y44" s="460" t="s">
        <v>621</v>
      </c>
      <c r="Z44" s="460" t="s">
        <v>621</v>
      </c>
      <c r="AA44" s="460" t="s">
        <v>621</v>
      </c>
      <c r="AB44" s="460" t="s">
        <v>621</v>
      </c>
      <c r="AC44" s="460" t="s">
        <v>621</v>
      </c>
      <c r="AD44" s="460" t="s">
        <v>621</v>
      </c>
      <c r="AE44" s="460" t="s">
        <v>621</v>
      </c>
      <c r="AF44" s="460" t="s">
        <v>621</v>
      </c>
      <c r="AG44" s="460" t="s">
        <v>621</v>
      </c>
      <c r="AH44" s="460" t="s">
        <v>621</v>
      </c>
      <c r="AI44" s="460">
        <v>0</v>
      </c>
      <c r="AJ44" s="460" t="s">
        <v>621</v>
      </c>
      <c r="AK44" s="460" t="s">
        <v>621</v>
      </c>
      <c r="AL44" s="460">
        <v>0</v>
      </c>
      <c r="AM44" s="460">
        <v>0</v>
      </c>
      <c r="AN44" s="460">
        <f t="shared" si="26"/>
        <v>0</v>
      </c>
      <c r="AO44" s="460" t="s">
        <v>621</v>
      </c>
      <c r="AP44" s="460" t="s">
        <v>621</v>
      </c>
      <c r="AQ44" s="460" t="s">
        <v>621</v>
      </c>
      <c r="AR44" s="460">
        <f t="shared" si="27"/>
        <v>0</v>
      </c>
      <c r="AS44" s="460">
        <v>0</v>
      </c>
      <c r="AT44" s="460" t="s">
        <v>621</v>
      </c>
      <c r="AU44" s="460" t="s">
        <v>621</v>
      </c>
      <c r="AV44" s="460">
        <v>0</v>
      </c>
      <c r="AW44" s="460">
        <v>0</v>
      </c>
      <c r="AX44" s="461">
        <f t="shared" si="20"/>
        <v>0.84</v>
      </c>
      <c r="AY44" s="460" t="s">
        <v>621</v>
      </c>
      <c r="AZ44" s="460" t="s">
        <v>621</v>
      </c>
      <c r="BA44" s="460" t="s">
        <v>621</v>
      </c>
      <c r="BB44" s="461">
        <f>U44</f>
        <v>0.84</v>
      </c>
      <c r="BC44" s="460">
        <v>0</v>
      </c>
      <c r="BD44" s="460" t="s">
        <v>621</v>
      </c>
      <c r="BE44" s="460" t="s">
        <v>621</v>
      </c>
      <c r="BF44" s="460">
        <v>0</v>
      </c>
      <c r="BG44" s="460">
        <v>0</v>
      </c>
      <c r="BH44" s="460" t="s">
        <v>621</v>
      </c>
      <c r="BI44" s="460" t="s">
        <v>621</v>
      </c>
      <c r="BJ44" s="460" t="s">
        <v>621</v>
      </c>
      <c r="BK44" s="460" t="s">
        <v>621</v>
      </c>
      <c r="BL44" s="460" t="s">
        <v>621</v>
      </c>
      <c r="BM44" s="460">
        <v>0</v>
      </c>
      <c r="BN44" s="460" t="s">
        <v>621</v>
      </c>
      <c r="BO44" s="460" t="s">
        <v>621</v>
      </c>
      <c r="BP44" s="460">
        <v>0</v>
      </c>
      <c r="BQ44" s="460">
        <v>0</v>
      </c>
      <c r="BR44" s="460" t="s">
        <v>621</v>
      </c>
      <c r="BS44" s="460" t="s">
        <v>621</v>
      </c>
      <c r="BT44" s="460" t="s">
        <v>621</v>
      </c>
      <c r="BU44" s="460" t="s">
        <v>621</v>
      </c>
      <c r="BV44" s="460" t="s">
        <v>621</v>
      </c>
      <c r="BW44" s="461">
        <v>0</v>
      </c>
      <c r="BX44" s="460" t="s">
        <v>621</v>
      </c>
      <c r="BY44" s="460" t="s">
        <v>621</v>
      </c>
      <c r="BZ44" s="461">
        <v>0</v>
      </c>
      <c r="CA44" s="461">
        <v>0</v>
      </c>
      <c r="CB44" s="461">
        <v>0</v>
      </c>
      <c r="CC44" s="460" t="s">
        <v>621</v>
      </c>
      <c r="CD44" s="460" t="s">
        <v>621</v>
      </c>
      <c r="CE44" s="460" t="s">
        <v>621</v>
      </c>
      <c r="CF44" s="461">
        <v>0</v>
      </c>
      <c r="CG44" s="461">
        <v>0</v>
      </c>
      <c r="CH44" s="460" t="s">
        <v>621</v>
      </c>
      <c r="CI44" s="460" t="s">
        <v>621</v>
      </c>
      <c r="CJ44" s="460" t="s">
        <v>621</v>
      </c>
      <c r="CK44" s="461">
        <f t="shared" si="14"/>
        <v>0</v>
      </c>
      <c r="CL44" s="461">
        <f t="shared" si="15"/>
        <v>0.84</v>
      </c>
      <c r="CM44" s="460" t="s">
        <v>621</v>
      </c>
      <c r="CN44" s="460" t="s">
        <v>621</v>
      </c>
      <c r="CO44" s="461" t="str">
        <f t="shared" si="16"/>
        <v>нд</v>
      </c>
      <c r="CP44" s="461">
        <f t="shared" si="17"/>
        <v>0.84</v>
      </c>
      <c r="CQ44" s="460"/>
      <c r="CR44" s="253"/>
      <c r="CS44" s="561"/>
      <c r="CT44" s="563"/>
    </row>
    <row r="45" spans="1:98" s="466" customFormat="1" ht="75.75" customHeight="1" x14ac:dyDescent="0.5">
      <c r="A45" s="462" t="s">
        <v>1669</v>
      </c>
      <c r="B45" s="470" t="s">
        <v>1681</v>
      </c>
      <c r="C45" s="460" t="str">
        <f t="shared" si="11"/>
        <v>J_2021_1.2.2.1.23</v>
      </c>
      <c r="D45" s="460" t="s">
        <v>823</v>
      </c>
      <c r="E45" s="460">
        <v>2021</v>
      </c>
      <c r="F45" s="460" t="s">
        <v>621</v>
      </c>
      <c r="G45" s="460">
        <v>2021</v>
      </c>
      <c r="H45" s="461">
        <v>0</v>
      </c>
      <c r="I45" s="461">
        <f t="shared" si="8"/>
        <v>0</v>
      </c>
      <c r="J45" s="471" t="s">
        <v>621</v>
      </c>
      <c r="K45" s="461">
        <v>2.16</v>
      </c>
      <c r="L45" s="461">
        <f t="shared" si="24"/>
        <v>2.16</v>
      </c>
      <c r="M45" s="471">
        <v>44237</v>
      </c>
      <c r="N45" s="460" t="s">
        <v>621</v>
      </c>
      <c r="O45" s="460" t="s">
        <v>621</v>
      </c>
      <c r="P45" s="461">
        <f t="shared" si="9"/>
        <v>0</v>
      </c>
      <c r="Q45" s="461">
        <v>0</v>
      </c>
      <c r="R45" s="461">
        <f t="shared" si="25"/>
        <v>2.16</v>
      </c>
      <c r="S45" s="461">
        <f t="shared" si="12"/>
        <v>2.16</v>
      </c>
      <c r="T45" s="461">
        <v>0</v>
      </c>
      <c r="U45" s="661">
        <v>2.16</v>
      </c>
      <c r="V45" s="460" t="s">
        <v>621</v>
      </c>
      <c r="W45" s="460" t="s">
        <v>621</v>
      </c>
      <c r="X45" s="460" t="s">
        <v>621</v>
      </c>
      <c r="Y45" s="460" t="s">
        <v>621</v>
      </c>
      <c r="Z45" s="460" t="s">
        <v>621</v>
      </c>
      <c r="AA45" s="460" t="s">
        <v>621</v>
      </c>
      <c r="AB45" s="460" t="s">
        <v>621</v>
      </c>
      <c r="AC45" s="460" t="s">
        <v>621</v>
      </c>
      <c r="AD45" s="460" t="s">
        <v>621</v>
      </c>
      <c r="AE45" s="460" t="s">
        <v>621</v>
      </c>
      <c r="AF45" s="460" t="s">
        <v>621</v>
      </c>
      <c r="AG45" s="460" t="s">
        <v>621</v>
      </c>
      <c r="AH45" s="460" t="s">
        <v>621</v>
      </c>
      <c r="AI45" s="460">
        <v>0</v>
      </c>
      <c r="AJ45" s="460" t="s">
        <v>621</v>
      </c>
      <c r="AK45" s="460" t="s">
        <v>621</v>
      </c>
      <c r="AL45" s="460">
        <v>0</v>
      </c>
      <c r="AM45" s="460">
        <v>0</v>
      </c>
      <c r="AN45" s="460">
        <f t="shared" si="26"/>
        <v>0</v>
      </c>
      <c r="AO45" s="460" t="s">
        <v>621</v>
      </c>
      <c r="AP45" s="460" t="s">
        <v>621</v>
      </c>
      <c r="AQ45" s="460" t="s">
        <v>621</v>
      </c>
      <c r="AR45" s="460">
        <f t="shared" si="27"/>
        <v>0</v>
      </c>
      <c r="AS45" s="460">
        <v>0</v>
      </c>
      <c r="AT45" s="460" t="s">
        <v>621</v>
      </c>
      <c r="AU45" s="460" t="s">
        <v>621</v>
      </c>
      <c r="AV45" s="460">
        <v>0</v>
      </c>
      <c r="AW45" s="460">
        <v>0</v>
      </c>
      <c r="AX45" s="461">
        <f t="shared" si="20"/>
        <v>2.16</v>
      </c>
      <c r="AY45" s="460" t="s">
        <v>621</v>
      </c>
      <c r="AZ45" s="460" t="s">
        <v>621</v>
      </c>
      <c r="BA45" s="460" t="s">
        <v>621</v>
      </c>
      <c r="BB45" s="461">
        <f t="shared" si="28"/>
        <v>2.16</v>
      </c>
      <c r="BC45" s="460">
        <v>0</v>
      </c>
      <c r="BD45" s="460" t="s">
        <v>621</v>
      </c>
      <c r="BE45" s="460" t="s">
        <v>621</v>
      </c>
      <c r="BF45" s="460">
        <v>0</v>
      </c>
      <c r="BG45" s="460">
        <v>0</v>
      </c>
      <c r="BH45" s="460" t="s">
        <v>621</v>
      </c>
      <c r="BI45" s="460" t="s">
        <v>621</v>
      </c>
      <c r="BJ45" s="460" t="s">
        <v>621</v>
      </c>
      <c r="BK45" s="460" t="s">
        <v>621</v>
      </c>
      <c r="BL45" s="460" t="s">
        <v>621</v>
      </c>
      <c r="BM45" s="460">
        <v>0</v>
      </c>
      <c r="BN45" s="460" t="s">
        <v>621</v>
      </c>
      <c r="BO45" s="460" t="s">
        <v>621</v>
      </c>
      <c r="BP45" s="460">
        <v>0</v>
      </c>
      <c r="BQ45" s="460">
        <v>0</v>
      </c>
      <c r="BR45" s="460" t="s">
        <v>621</v>
      </c>
      <c r="BS45" s="460" t="s">
        <v>621</v>
      </c>
      <c r="BT45" s="460" t="s">
        <v>621</v>
      </c>
      <c r="BU45" s="460" t="s">
        <v>621</v>
      </c>
      <c r="BV45" s="460" t="s">
        <v>621</v>
      </c>
      <c r="BW45" s="461">
        <v>0</v>
      </c>
      <c r="BX45" s="460" t="s">
        <v>621</v>
      </c>
      <c r="BY45" s="460" t="s">
        <v>621</v>
      </c>
      <c r="BZ45" s="461">
        <v>0</v>
      </c>
      <c r="CA45" s="461">
        <v>0</v>
      </c>
      <c r="CB45" s="461">
        <v>0</v>
      </c>
      <c r="CC45" s="460" t="s">
        <v>621</v>
      </c>
      <c r="CD45" s="460" t="s">
        <v>621</v>
      </c>
      <c r="CE45" s="460" t="s">
        <v>621</v>
      </c>
      <c r="CF45" s="461">
        <v>0</v>
      </c>
      <c r="CG45" s="461">
        <v>0</v>
      </c>
      <c r="CH45" s="460" t="s">
        <v>621</v>
      </c>
      <c r="CI45" s="460" t="s">
        <v>621</v>
      </c>
      <c r="CJ45" s="460" t="s">
        <v>621</v>
      </c>
      <c r="CK45" s="461">
        <f t="shared" si="14"/>
        <v>0</v>
      </c>
      <c r="CL45" s="461">
        <f t="shared" si="15"/>
        <v>2.16</v>
      </c>
      <c r="CM45" s="460" t="s">
        <v>621</v>
      </c>
      <c r="CN45" s="460" t="s">
        <v>621</v>
      </c>
      <c r="CO45" s="461" t="str">
        <f t="shared" si="16"/>
        <v>нд</v>
      </c>
      <c r="CP45" s="461">
        <f t="shared" si="17"/>
        <v>2.16</v>
      </c>
      <c r="CQ45" s="460"/>
      <c r="CR45" s="253"/>
      <c r="CS45" s="561"/>
      <c r="CT45" s="563"/>
    </row>
    <row r="46" spans="1:98" s="466" customFormat="1" ht="75" customHeight="1" x14ac:dyDescent="0.5">
      <c r="A46" s="462" t="s">
        <v>1670</v>
      </c>
      <c r="B46" s="470" t="s">
        <v>1682</v>
      </c>
      <c r="C46" s="460" t="str">
        <f t="shared" si="11"/>
        <v>J_2021_1.2.2.1.24</v>
      </c>
      <c r="D46" s="460" t="s">
        <v>823</v>
      </c>
      <c r="E46" s="460">
        <v>2021</v>
      </c>
      <c r="F46" s="460" t="s">
        <v>621</v>
      </c>
      <c r="G46" s="460">
        <v>2021</v>
      </c>
      <c r="H46" s="461">
        <v>0</v>
      </c>
      <c r="I46" s="461">
        <f t="shared" si="8"/>
        <v>0</v>
      </c>
      <c r="J46" s="471" t="s">
        <v>621</v>
      </c>
      <c r="K46" s="461">
        <v>0.96</v>
      </c>
      <c r="L46" s="461">
        <f>K46</f>
        <v>0.96</v>
      </c>
      <c r="M46" s="471">
        <v>44237</v>
      </c>
      <c r="N46" s="460" t="s">
        <v>621</v>
      </c>
      <c r="O46" s="460" t="s">
        <v>621</v>
      </c>
      <c r="P46" s="461">
        <f t="shared" si="9"/>
        <v>0</v>
      </c>
      <c r="Q46" s="461">
        <v>0</v>
      </c>
      <c r="R46" s="461">
        <f t="shared" si="25"/>
        <v>0.96</v>
      </c>
      <c r="S46" s="461">
        <f t="shared" si="12"/>
        <v>0.96</v>
      </c>
      <c r="T46" s="461">
        <v>0</v>
      </c>
      <c r="U46" s="661">
        <v>0.96</v>
      </c>
      <c r="V46" s="460" t="s">
        <v>621</v>
      </c>
      <c r="W46" s="460" t="s">
        <v>621</v>
      </c>
      <c r="X46" s="460" t="s">
        <v>621</v>
      </c>
      <c r="Y46" s="460" t="s">
        <v>621</v>
      </c>
      <c r="Z46" s="460" t="s">
        <v>621</v>
      </c>
      <c r="AA46" s="460" t="s">
        <v>621</v>
      </c>
      <c r="AB46" s="460" t="s">
        <v>621</v>
      </c>
      <c r="AC46" s="460" t="s">
        <v>621</v>
      </c>
      <c r="AD46" s="460" t="s">
        <v>621</v>
      </c>
      <c r="AE46" s="460" t="s">
        <v>621</v>
      </c>
      <c r="AF46" s="460" t="s">
        <v>621</v>
      </c>
      <c r="AG46" s="460" t="s">
        <v>621</v>
      </c>
      <c r="AH46" s="460" t="s">
        <v>621</v>
      </c>
      <c r="AI46" s="460">
        <v>0</v>
      </c>
      <c r="AJ46" s="460" t="s">
        <v>621</v>
      </c>
      <c r="AK46" s="460" t="s">
        <v>621</v>
      </c>
      <c r="AL46" s="460">
        <v>0</v>
      </c>
      <c r="AM46" s="460">
        <v>0</v>
      </c>
      <c r="AN46" s="460">
        <f t="shared" si="26"/>
        <v>0</v>
      </c>
      <c r="AO46" s="460" t="s">
        <v>621</v>
      </c>
      <c r="AP46" s="460" t="s">
        <v>621</v>
      </c>
      <c r="AQ46" s="460" t="s">
        <v>621</v>
      </c>
      <c r="AR46" s="460">
        <f t="shared" si="27"/>
        <v>0</v>
      </c>
      <c r="AS46" s="460">
        <v>0</v>
      </c>
      <c r="AT46" s="460" t="s">
        <v>621</v>
      </c>
      <c r="AU46" s="460" t="s">
        <v>621</v>
      </c>
      <c r="AV46" s="460">
        <v>0</v>
      </c>
      <c r="AW46" s="460">
        <v>0</v>
      </c>
      <c r="AX46" s="461">
        <f t="shared" si="20"/>
        <v>0.96</v>
      </c>
      <c r="AY46" s="460" t="s">
        <v>621</v>
      </c>
      <c r="AZ46" s="460" t="s">
        <v>621</v>
      </c>
      <c r="BA46" s="460" t="s">
        <v>621</v>
      </c>
      <c r="BB46" s="461">
        <f t="shared" si="28"/>
        <v>0.96</v>
      </c>
      <c r="BC46" s="460">
        <v>0</v>
      </c>
      <c r="BD46" s="460" t="s">
        <v>621</v>
      </c>
      <c r="BE46" s="460" t="s">
        <v>621</v>
      </c>
      <c r="BF46" s="460">
        <v>0</v>
      </c>
      <c r="BG46" s="460">
        <v>0</v>
      </c>
      <c r="BH46" s="460" t="s">
        <v>621</v>
      </c>
      <c r="BI46" s="460" t="s">
        <v>621</v>
      </c>
      <c r="BJ46" s="460" t="s">
        <v>621</v>
      </c>
      <c r="BK46" s="460" t="s">
        <v>621</v>
      </c>
      <c r="BL46" s="460" t="s">
        <v>621</v>
      </c>
      <c r="BM46" s="460">
        <v>0</v>
      </c>
      <c r="BN46" s="460" t="s">
        <v>621</v>
      </c>
      <c r="BO46" s="460" t="s">
        <v>621</v>
      </c>
      <c r="BP46" s="460">
        <v>0</v>
      </c>
      <c r="BQ46" s="460">
        <v>0</v>
      </c>
      <c r="BR46" s="460" t="s">
        <v>621</v>
      </c>
      <c r="BS46" s="460" t="s">
        <v>621</v>
      </c>
      <c r="BT46" s="460" t="s">
        <v>621</v>
      </c>
      <c r="BU46" s="460" t="s">
        <v>621</v>
      </c>
      <c r="BV46" s="460" t="s">
        <v>621</v>
      </c>
      <c r="BW46" s="461">
        <v>0</v>
      </c>
      <c r="BX46" s="460" t="s">
        <v>621</v>
      </c>
      <c r="BY46" s="460" t="s">
        <v>621</v>
      </c>
      <c r="BZ46" s="461">
        <v>0</v>
      </c>
      <c r="CA46" s="461">
        <v>0</v>
      </c>
      <c r="CB46" s="461">
        <v>0</v>
      </c>
      <c r="CC46" s="460" t="s">
        <v>621</v>
      </c>
      <c r="CD46" s="460" t="s">
        <v>621</v>
      </c>
      <c r="CE46" s="460" t="s">
        <v>621</v>
      </c>
      <c r="CF46" s="461">
        <v>0</v>
      </c>
      <c r="CG46" s="461">
        <v>0</v>
      </c>
      <c r="CH46" s="460" t="s">
        <v>621</v>
      </c>
      <c r="CI46" s="460" t="s">
        <v>621</v>
      </c>
      <c r="CJ46" s="460" t="s">
        <v>621</v>
      </c>
      <c r="CK46" s="461">
        <f t="shared" si="14"/>
        <v>0</v>
      </c>
      <c r="CL46" s="461">
        <f t="shared" si="15"/>
        <v>0.96</v>
      </c>
      <c r="CM46" s="460" t="s">
        <v>621</v>
      </c>
      <c r="CN46" s="460" t="s">
        <v>621</v>
      </c>
      <c r="CO46" s="461" t="str">
        <f t="shared" si="16"/>
        <v>нд</v>
      </c>
      <c r="CP46" s="461">
        <f t="shared" si="17"/>
        <v>0.96</v>
      </c>
      <c r="CQ46" s="460"/>
      <c r="CR46" s="253"/>
      <c r="CS46" s="561"/>
      <c r="CT46" s="563"/>
    </row>
    <row r="47" spans="1:98" s="466" customFormat="1" ht="83.25" customHeight="1" x14ac:dyDescent="0.5">
      <c r="A47" s="462" t="s">
        <v>1716</v>
      </c>
      <c r="B47" s="463" t="s">
        <v>1715</v>
      </c>
      <c r="C47" s="460" t="str">
        <f t="shared" si="11"/>
        <v>J_2022_1.2.2.1.25</v>
      </c>
      <c r="D47" s="460" t="s">
        <v>823</v>
      </c>
      <c r="E47" s="460">
        <v>2022</v>
      </c>
      <c r="F47" s="460" t="s">
        <v>621</v>
      </c>
      <c r="G47" s="460">
        <v>2022</v>
      </c>
      <c r="H47" s="461">
        <v>0</v>
      </c>
      <c r="I47" s="461">
        <v>0</v>
      </c>
      <c r="J47" s="471" t="s">
        <v>621</v>
      </c>
      <c r="K47" s="461">
        <v>17.87</v>
      </c>
      <c r="L47" s="461">
        <v>18.82</v>
      </c>
      <c r="M47" s="471">
        <v>44287</v>
      </c>
      <c r="N47" s="460" t="s">
        <v>621</v>
      </c>
      <c r="O47" s="460" t="s">
        <v>621</v>
      </c>
      <c r="P47" s="461">
        <f>H47</f>
        <v>0</v>
      </c>
      <c r="Q47" s="461">
        <v>0</v>
      </c>
      <c r="R47" s="461">
        <f>K47</f>
        <v>17.87</v>
      </c>
      <c r="S47" s="461">
        <f>U47</f>
        <v>18.82</v>
      </c>
      <c r="T47" s="461">
        <v>0</v>
      </c>
      <c r="U47" s="661">
        <v>18.82</v>
      </c>
      <c r="V47" s="460" t="s">
        <v>621</v>
      </c>
      <c r="W47" s="460" t="s">
        <v>621</v>
      </c>
      <c r="X47" s="460" t="s">
        <v>621</v>
      </c>
      <c r="Y47" s="460" t="s">
        <v>621</v>
      </c>
      <c r="Z47" s="460" t="s">
        <v>621</v>
      </c>
      <c r="AA47" s="460" t="s">
        <v>621</v>
      </c>
      <c r="AB47" s="460" t="s">
        <v>621</v>
      </c>
      <c r="AC47" s="460" t="s">
        <v>621</v>
      </c>
      <c r="AD47" s="460" t="s">
        <v>621</v>
      </c>
      <c r="AE47" s="460" t="s">
        <v>621</v>
      </c>
      <c r="AF47" s="460" t="s">
        <v>621</v>
      </c>
      <c r="AG47" s="460" t="s">
        <v>621</v>
      </c>
      <c r="AH47" s="460" t="s">
        <v>621</v>
      </c>
      <c r="AI47" s="460">
        <v>0</v>
      </c>
      <c r="AJ47" s="460" t="s">
        <v>621</v>
      </c>
      <c r="AK47" s="460" t="s">
        <v>621</v>
      </c>
      <c r="AL47" s="460">
        <v>0</v>
      </c>
      <c r="AM47" s="460">
        <v>0</v>
      </c>
      <c r="AN47" s="460">
        <f>AI47</f>
        <v>0</v>
      </c>
      <c r="AO47" s="460" t="s">
        <v>621</v>
      </c>
      <c r="AP47" s="460" t="s">
        <v>621</v>
      </c>
      <c r="AQ47" s="460" t="s">
        <v>621</v>
      </c>
      <c r="AR47" s="460">
        <f>AM47</f>
        <v>0</v>
      </c>
      <c r="AS47" s="460">
        <v>0</v>
      </c>
      <c r="AT47" s="460" t="s">
        <v>621</v>
      </c>
      <c r="AU47" s="460" t="s">
        <v>621</v>
      </c>
      <c r="AV47" s="460">
        <v>0</v>
      </c>
      <c r="AW47" s="460">
        <v>0</v>
      </c>
      <c r="AX47" s="461">
        <v>0</v>
      </c>
      <c r="AY47" s="460" t="s">
        <v>621</v>
      </c>
      <c r="AZ47" s="460" t="s">
        <v>621</v>
      </c>
      <c r="BA47" s="460" t="s">
        <v>621</v>
      </c>
      <c r="BB47" s="461">
        <v>0</v>
      </c>
      <c r="BC47" s="461">
        <v>0</v>
      </c>
      <c r="BD47" s="460" t="s">
        <v>621</v>
      </c>
      <c r="BE47" s="460" t="s">
        <v>621</v>
      </c>
      <c r="BF47" s="460">
        <v>0</v>
      </c>
      <c r="BG47" s="461">
        <v>0</v>
      </c>
      <c r="BH47" s="461">
        <f>BL47</f>
        <v>18.82</v>
      </c>
      <c r="BI47" s="460" t="s">
        <v>621</v>
      </c>
      <c r="BJ47" s="460" t="s">
        <v>621</v>
      </c>
      <c r="BK47" s="460" t="s">
        <v>621</v>
      </c>
      <c r="BL47" s="461">
        <f>U47</f>
        <v>18.82</v>
      </c>
      <c r="BM47" s="460">
        <v>0</v>
      </c>
      <c r="BN47" s="460" t="s">
        <v>621</v>
      </c>
      <c r="BO47" s="460" t="s">
        <v>621</v>
      </c>
      <c r="BP47" s="460">
        <v>0</v>
      </c>
      <c r="BQ47" s="460">
        <v>0</v>
      </c>
      <c r="BR47" s="460" t="s">
        <v>621</v>
      </c>
      <c r="BS47" s="460" t="s">
        <v>621</v>
      </c>
      <c r="BT47" s="460" t="s">
        <v>621</v>
      </c>
      <c r="BU47" s="460" t="s">
        <v>621</v>
      </c>
      <c r="BV47" s="460" t="s">
        <v>621</v>
      </c>
      <c r="BW47" s="461">
        <v>0</v>
      </c>
      <c r="BX47" s="460" t="s">
        <v>621</v>
      </c>
      <c r="BY47" s="460" t="s">
        <v>621</v>
      </c>
      <c r="BZ47" s="461">
        <v>0</v>
      </c>
      <c r="CA47" s="461">
        <v>0</v>
      </c>
      <c r="CB47" s="461">
        <v>0</v>
      </c>
      <c r="CC47" s="460" t="s">
        <v>621</v>
      </c>
      <c r="CD47" s="460" t="s">
        <v>621</v>
      </c>
      <c r="CE47" s="460" t="s">
        <v>621</v>
      </c>
      <c r="CF47" s="461">
        <v>0</v>
      </c>
      <c r="CG47" s="461">
        <v>0</v>
      </c>
      <c r="CH47" s="460" t="s">
        <v>621</v>
      </c>
      <c r="CI47" s="460" t="s">
        <v>621</v>
      </c>
      <c r="CJ47" s="460" t="s">
        <v>621</v>
      </c>
      <c r="CK47" s="461">
        <f t="shared" si="14"/>
        <v>0</v>
      </c>
      <c r="CL47" s="461">
        <f t="shared" si="15"/>
        <v>18.82</v>
      </c>
      <c r="CM47" s="460" t="s">
        <v>621</v>
      </c>
      <c r="CN47" s="460" t="s">
        <v>621</v>
      </c>
      <c r="CO47" s="461" t="str">
        <f>CJ47</f>
        <v>нд</v>
      </c>
      <c r="CP47" s="461">
        <f t="shared" si="17"/>
        <v>18.82</v>
      </c>
      <c r="CQ47" s="460"/>
      <c r="CR47" s="253"/>
      <c r="CS47" s="561"/>
      <c r="CT47" s="563"/>
    </row>
    <row r="48" spans="1:98" s="557" customFormat="1" ht="80.25" customHeight="1" x14ac:dyDescent="0.45">
      <c r="A48" s="1108" t="s">
        <v>546</v>
      </c>
      <c r="B48" s="1109" t="s">
        <v>739</v>
      </c>
      <c r="C48" s="1110" t="s">
        <v>621</v>
      </c>
      <c r="D48" s="1110" t="s">
        <v>621</v>
      </c>
      <c r="E48" s="1111">
        <v>2021</v>
      </c>
      <c r="F48" s="1110" t="s">
        <v>621</v>
      </c>
      <c r="G48" s="1111">
        <v>2024</v>
      </c>
      <c r="H48" s="1107" t="s">
        <v>621</v>
      </c>
      <c r="I48" s="1107" t="s">
        <v>621</v>
      </c>
      <c r="J48" s="1112" t="s">
        <v>621</v>
      </c>
      <c r="K48" s="1113">
        <f>K49</f>
        <v>122.49</v>
      </c>
      <c r="L48" s="1107">
        <f>L49</f>
        <v>122.49</v>
      </c>
      <c r="M48" s="1114">
        <v>43891</v>
      </c>
      <c r="N48" s="1107" t="str">
        <f t="shared" ref="N48:P49" si="29">N49</f>
        <v>нд</v>
      </c>
      <c r="O48" s="1107" t="str">
        <f t="shared" si="29"/>
        <v>нд</v>
      </c>
      <c r="P48" s="1107">
        <f t="shared" si="29"/>
        <v>0</v>
      </c>
      <c r="Q48" s="1107">
        <v>134.25</v>
      </c>
      <c r="R48" s="1107">
        <f t="shared" ref="R48:T49" si="30">R49</f>
        <v>122.49</v>
      </c>
      <c r="S48" s="1107">
        <f t="shared" si="30"/>
        <v>134.25</v>
      </c>
      <c r="T48" s="1107">
        <f t="shared" si="30"/>
        <v>134.25</v>
      </c>
      <c r="U48" s="1107">
        <v>134.25</v>
      </c>
      <c r="V48" s="1107" t="str">
        <f t="shared" ref="V48:AE49" si="31">V49</f>
        <v>нд</v>
      </c>
      <c r="W48" s="1107" t="str">
        <f t="shared" si="31"/>
        <v>нд</v>
      </c>
      <c r="X48" s="1107" t="str">
        <f t="shared" si="31"/>
        <v>нд</v>
      </c>
      <c r="Y48" s="1107" t="str">
        <f t="shared" si="31"/>
        <v>нд</v>
      </c>
      <c r="Z48" s="1107" t="str">
        <f t="shared" si="31"/>
        <v>нд</v>
      </c>
      <c r="AA48" s="1107" t="str">
        <f t="shared" si="31"/>
        <v>нд</v>
      </c>
      <c r="AB48" s="1107" t="str">
        <f t="shared" si="31"/>
        <v>нд</v>
      </c>
      <c r="AC48" s="1107" t="str">
        <f t="shared" si="31"/>
        <v>нд</v>
      </c>
      <c r="AD48" s="1107" t="str">
        <f t="shared" si="31"/>
        <v>нд</v>
      </c>
      <c r="AE48" s="1107" t="str">
        <f t="shared" si="31"/>
        <v>нд</v>
      </c>
      <c r="AF48" s="1107" t="str">
        <f t="shared" ref="AF48:AO49" si="32">AF49</f>
        <v>нд</v>
      </c>
      <c r="AG48" s="1107" t="str">
        <f t="shared" si="32"/>
        <v>нд</v>
      </c>
      <c r="AH48" s="1107" t="str">
        <f t="shared" si="32"/>
        <v>нд</v>
      </c>
      <c r="AI48" s="1107">
        <f t="shared" si="32"/>
        <v>0</v>
      </c>
      <c r="AJ48" s="1107" t="str">
        <f t="shared" si="32"/>
        <v>нд</v>
      </c>
      <c r="AK48" s="1107" t="str">
        <f t="shared" si="32"/>
        <v>нд</v>
      </c>
      <c r="AL48" s="1107">
        <f t="shared" si="32"/>
        <v>0</v>
      </c>
      <c r="AM48" s="1107">
        <f t="shared" si="32"/>
        <v>0</v>
      </c>
      <c r="AN48" s="1107">
        <f t="shared" si="32"/>
        <v>0</v>
      </c>
      <c r="AO48" s="1107" t="str">
        <f t="shared" si="32"/>
        <v>нд</v>
      </c>
      <c r="AP48" s="1107" t="str">
        <f t="shared" ref="AP48:AU49" si="33">AP49</f>
        <v>нд</v>
      </c>
      <c r="AQ48" s="1107">
        <f t="shared" si="33"/>
        <v>0</v>
      </c>
      <c r="AR48" s="1107">
        <f t="shared" si="33"/>
        <v>0</v>
      </c>
      <c r="AS48" s="1107">
        <f t="shared" si="33"/>
        <v>32.26</v>
      </c>
      <c r="AT48" s="1107" t="str">
        <f t="shared" si="33"/>
        <v>нд</v>
      </c>
      <c r="AU48" s="1107" t="str">
        <f t="shared" si="33"/>
        <v>нд</v>
      </c>
      <c r="AV48" s="1107">
        <v>32.26</v>
      </c>
      <c r="AW48" s="1107">
        <f t="shared" ref="AW48:BE48" si="34">AW49</f>
        <v>0</v>
      </c>
      <c r="AX48" s="1107">
        <f t="shared" si="34"/>
        <v>32.26</v>
      </c>
      <c r="AY48" s="1107" t="str">
        <f t="shared" si="34"/>
        <v>нд</v>
      </c>
      <c r="AZ48" s="1107" t="str">
        <f t="shared" si="34"/>
        <v>нд</v>
      </c>
      <c r="BA48" s="1107">
        <f t="shared" si="34"/>
        <v>32.26</v>
      </c>
      <c r="BB48" s="1107">
        <f t="shared" si="34"/>
        <v>0</v>
      </c>
      <c r="BC48" s="1107">
        <f t="shared" si="34"/>
        <v>32.75</v>
      </c>
      <c r="BD48" s="1107" t="str">
        <f t="shared" si="34"/>
        <v>нд</v>
      </c>
      <c r="BE48" s="1107" t="str">
        <f t="shared" si="34"/>
        <v>нд</v>
      </c>
      <c r="BF48" s="1107">
        <f t="shared" ref="BF48:BG50" si="35">BK48</f>
        <v>12.79</v>
      </c>
      <c r="BG48" s="1107">
        <f t="shared" si="35"/>
        <v>19.96</v>
      </c>
      <c r="BH48" s="1107">
        <f t="shared" ref="BH48:BL49" si="36">BH49</f>
        <v>32.75</v>
      </c>
      <c r="BI48" s="1107" t="str">
        <f t="shared" si="36"/>
        <v>нд</v>
      </c>
      <c r="BJ48" s="1107" t="str">
        <f t="shared" si="36"/>
        <v>нд</v>
      </c>
      <c r="BK48" s="1107">
        <f t="shared" si="36"/>
        <v>12.79</v>
      </c>
      <c r="BL48" s="1107">
        <f t="shared" si="36"/>
        <v>19.96</v>
      </c>
      <c r="BM48" s="1107">
        <f>BR48</f>
        <v>35.86</v>
      </c>
      <c r="BN48" s="1107" t="str">
        <f>BN49</f>
        <v>нд</v>
      </c>
      <c r="BO48" s="1107" t="str">
        <f>BO49</f>
        <v>нд</v>
      </c>
      <c r="BP48" s="1107">
        <f t="shared" ref="BP48:BQ50" si="37">BU48</f>
        <v>14.4</v>
      </c>
      <c r="BQ48" s="1107">
        <f t="shared" si="37"/>
        <v>21.46</v>
      </c>
      <c r="BR48" s="1107">
        <f t="shared" ref="BR48:BV49" si="38">BR49</f>
        <v>35.86</v>
      </c>
      <c r="BS48" s="1107" t="str">
        <f t="shared" si="38"/>
        <v>нд</v>
      </c>
      <c r="BT48" s="1107" t="str">
        <f t="shared" si="38"/>
        <v>нд</v>
      </c>
      <c r="BU48" s="1107">
        <f t="shared" si="38"/>
        <v>14.4</v>
      </c>
      <c r="BV48" s="1107">
        <f t="shared" si="38"/>
        <v>21.46</v>
      </c>
      <c r="BW48" s="1107">
        <f>CB48</f>
        <v>33.380000000000003</v>
      </c>
      <c r="BX48" s="1107" t="str">
        <f t="shared" ref="BX48:CP49" si="39">BX49</f>
        <v>нд</v>
      </c>
      <c r="BY48" s="1107" t="str">
        <f t="shared" si="39"/>
        <v>нд</v>
      </c>
      <c r="BZ48" s="1107">
        <f t="shared" ref="BZ48:CA50" si="40">CE48</f>
        <v>22.36</v>
      </c>
      <c r="CA48" s="1107">
        <f t="shared" si="40"/>
        <v>11.02</v>
      </c>
      <c r="CB48" s="1107">
        <f t="shared" si="39"/>
        <v>33.380000000000003</v>
      </c>
      <c r="CC48" s="1107" t="str">
        <f t="shared" si="39"/>
        <v>нд</v>
      </c>
      <c r="CD48" s="1107" t="str">
        <f t="shared" si="39"/>
        <v>нд</v>
      </c>
      <c r="CE48" s="1107">
        <f t="shared" si="39"/>
        <v>22.36</v>
      </c>
      <c r="CF48" s="1107">
        <f t="shared" si="39"/>
        <v>11.02</v>
      </c>
      <c r="CG48" s="1107">
        <v>134.25</v>
      </c>
      <c r="CH48" s="1107" t="str">
        <f t="shared" si="39"/>
        <v>нд</v>
      </c>
      <c r="CI48" s="1107" t="str">
        <f t="shared" si="39"/>
        <v>нд</v>
      </c>
      <c r="CJ48" s="1107">
        <f t="shared" si="39"/>
        <v>81.81</v>
      </c>
      <c r="CK48" s="1107">
        <v>52.44</v>
      </c>
      <c r="CL48" s="1107">
        <f t="shared" si="39"/>
        <v>134.25</v>
      </c>
      <c r="CM48" s="1107" t="str">
        <f t="shared" si="39"/>
        <v>нд</v>
      </c>
      <c r="CN48" s="1107" t="str">
        <f t="shared" si="39"/>
        <v>нд</v>
      </c>
      <c r="CO48" s="1107">
        <f t="shared" si="39"/>
        <v>81.81</v>
      </c>
      <c r="CP48" s="1107">
        <f t="shared" si="39"/>
        <v>52.44</v>
      </c>
      <c r="CQ48" s="1110"/>
      <c r="CS48" s="561"/>
      <c r="CT48" s="564"/>
    </row>
    <row r="49" spans="1:98" s="557" customFormat="1" ht="77.25" customHeight="1" x14ac:dyDescent="0.45">
      <c r="A49" s="268" t="s">
        <v>599</v>
      </c>
      <c r="B49" s="425" t="s">
        <v>740</v>
      </c>
      <c r="C49" s="944" t="s">
        <v>621</v>
      </c>
      <c r="D49" s="944" t="s">
        <v>621</v>
      </c>
      <c r="E49" s="944">
        <v>2021</v>
      </c>
      <c r="F49" s="944" t="s">
        <v>621</v>
      </c>
      <c r="G49" s="944">
        <v>2024</v>
      </c>
      <c r="H49" s="661" t="s">
        <v>621</v>
      </c>
      <c r="I49" s="661" t="s">
        <v>621</v>
      </c>
      <c r="J49" s="945" t="s">
        <v>621</v>
      </c>
      <c r="K49" s="661">
        <f>K50</f>
        <v>122.49</v>
      </c>
      <c r="L49" s="661">
        <f>L50</f>
        <v>122.49</v>
      </c>
      <c r="M49" s="471">
        <v>43891</v>
      </c>
      <c r="N49" s="661" t="str">
        <f t="shared" si="29"/>
        <v>нд</v>
      </c>
      <c r="O49" s="661" t="str">
        <f t="shared" si="29"/>
        <v>нд</v>
      </c>
      <c r="P49" s="661">
        <f t="shared" si="29"/>
        <v>0</v>
      </c>
      <c r="Q49" s="661">
        <f>Q50</f>
        <v>134.25</v>
      </c>
      <c r="R49" s="661">
        <f t="shared" si="30"/>
        <v>122.49</v>
      </c>
      <c r="S49" s="661">
        <f t="shared" si="30"/>
        <v>134.25</v>
      </c>
      <c r="T49" s="661">
        <f t="shared" si="30"/>
        <v>134.25</v>
      </c>
      <c r="U49" s="661">
        <v>134.25</v>
      </c>
      <c r="V49" s="661" t="str">
        <f t="shared" si="31"/>
        <v>нд</v>
      </c>
      <c r="W49" s="661" t="str">
        <f t="shared" si="31"/>
        <v>нд</v>
      </c>
      <c r="X49" s="661" t="str">
        <f t="shared" si="31"/>
        <v>нд</v>
      </c>
      <c r="Y49" s="661" t="str">
        <f t="shared" si="31"/>
        <v>нд</v>
      </c>
      <c r="Z49" s="661" t="str">
        <f t="shared" si="31"/>
        <v>нд</v>
      </c>
      <c r="AA49" s="661" t="str">
        <f t="shared" si="31"/>
        <v>нд</v>
      </c>
      <c r="AB49" s="661" t="str">
        <f t="shared" si="31"/>
        <v>нд</v>
      </c>
      <c r="AC49" s="661" t="str">
        <f t="shared" si="31"/>
        <v>нд</v>
      </c>
      <c r="AD49" s="661" t="str">
        <f t="shared" si="31"/>
        <v>нд</v>
      </c>
      <c r="AE49" s="661" t="str">
        <f t="shared" si="31"/>
        <v>нд</v>
      </c>
      <c r="AF49" s="661" t="str">
        <f t="shared" si="32"/>
        <v>нд</v>
      </c>
      <c r="AG49" s="661" t="str">
        <f t="shared" si="32"/>
        <v>нд</v>
      </c>
      <c r="AH49" s="661" t="str">
        <f t="shared" si="32"/>
        <v>нд</v>
      </c>
      <c r="AI49" s="661">
        <f t="shared" si="32"/>
        <v>0</v>
      </c>
      <c r="AJ49" s="661" t="str">
        <f t="shared" si="32"/>
        <v>нд</v>
      </c>
      <c r="AK49" s="661" t="str">
        <f t="shared" si="32"/>
        <v>нд</v>
      </c>
      <c r="AL49" s="661">
        <f t="shared" si="32"/>
        <v>0</v>
      </c>
      <c r="AM49" s="661">
        <f t="shared" si="32"/>
        <v>0</v>
      </c>
      <c r="AN49" s="661">
        <f t="shared" si="32"/>
        <v>0</v>
      </c>
      <c r="AO49" s="661" t="str">
        <f t="shared" si="32"/>
        <v>нд</v>
      </c>
      <c r="AP49" s="661" t="str">
        <f t="shared" si="33"/>
        <v>нд</v>
      </c>
      <c r="AQ49" s="661">
        <f t="shared" si="33"/>
        <v>0</v>
      </c>
      <c r="AR49" s="661">
        <f t="shared" si="33"/>
        <v>0</v>
      </c>
      <c r="AS49" s="661">
        <f t="shared" si="33"/>
        <v>32.26</v>
      </c>
      <c r="AT49" s="661" t="str">
        <f t="shared" si="33"/>
        <v>нд</v>
      </c>
      <c r="AU49" s="661" t="str">
        <f t="shared" si="33"/>
        <v>нд</v>
      </c>
      <c r="AV49" s="661">
        <v>32.26</v>
      </c>
      <c r="AW49" s="661">
        <f>AW50</f>
        <v>0</v>
      </c>
      <c r="AX49" s="661">
        <f>AX50</f>
        <v>32.26</v>
      </c>
      <c r="AY49" s="661" t="str">
        <f>AY50</f>
        <v>нд</v>
      </c>
      <c r="AZ49" s="661" t="str">
        <f>AZ50</f>
        <v>нд</v>
      </c>
      <c r="BA49" s="661">
        <v>32.26</v>
      </c>
      <c r="BB49" s="661">
        <v>0</v>
      </c>
      <c r="BC49" s="661">
        <f>BC50</f>
        <v>32.75</v>
      </c>
      <c r="BD49" s="661" t="str">
        <f>BD50</f>
        <v>нд</v>
      </c>
      <c r="BE49" s="661" t="str">
        <f>BE50</f>
        <v>нд</v>
      </c>
      <c r="BF49" s="661">
        <f t="shared" si="35"/>
        <v>12.79</v>
      </c>
      <c r="BG49" s="661">
        <f t="shared" si="35"/>
        <v>19.96</v>
      </c>
      <c r="BH49" s="661">
        <f t="shared" si="36"/>
        <v>32.75</v>
      </c>
      <c r="BI49" s="661" t="str">
        <f t="shared" si="36"/>
        <v>нд</v>
      </c>
      <c r="BJ49" s="661" t="str">
        <f t="shared" si="36"/>
        <v>нд</v>
      </c>
      <c r="BK49" s="661">
        <f t="shared" si="36"/>
        <v>12.79</v>
      </c>
      <c r="BL49" s="661">
        <f t="shared" si="36"/>
        <v>19.96</v>
      </c>
      <c r="BM49" s="661">
        <f>BR49</f>
        <v>35.86</v>
      </c>
      <c r="BN49" s="661" t="str">
        <f>BN50</f>
        <v>нд</v>
      </c>
      <c r="BO49" s="661" t="str">
        <f>BO50</f>
        <v>нд</v>
      </c>
      <c r="BP49" s="661">
        <f t="shared" si="37"/>
        <v>14.4</v>
      </c>
      <c r="BQ49" s="661">
        <f t="shared" si="37"/>
        <v>21.46</v>
      </c>
      <c r="BR49" s="661">
        <f t="shared" si="38"/>
        <v>35.86</v>
      </c>
      <c r="BS49" s="661" t="str">
        <f t="shared" si="38"/>
        <v>нд</v>
      </c>
      <c r="BT49" s="661" t="str">
        <f t="shared" si="38"/>
        <v>нд</v>
      </c>
      <c r="BU49" s="661">
        <f t="shared" si="38"/>
        <v>14.4</v>
      </c>
      <c r="BV49" s="661">
        <f t="shared" si="38"/>
        <v>21.46</v>
      </c>
      <c r="BW49" s="661">
        <f>CB49</f>
        <v>33.380000000000003</v>
      </c>
      <c r="BX49" s="661" t="str">
        <f t="shared" si="39"/>
        <v>нд</v>
      </c>
      <c r="BY49" s="661" t="str">
        <f t="shared" si="39"/>
        <v>нд</v>
      </c>
      <c r="BZ49" s="661">
        <f t="shared" si="40"/>
        <v>22.36</v>
      </c>
      <c r="CA49" s="661">
        <f t="shared" si="40"/>
        <v>11.02</v>
      </c>
      <c r="CB49" s="661">
        <f t="shared" si="39"/>
        <v>33.380000000000003</v>
      </c>
      <c r="CC49" s="661" t="str">
        <f t="shared" si="39"/>
        <v>нд</v>
      </c>
      <c r="CD49" s="661" t="str">
        <f t="shared" si="39"/>
        <v>нд</v>
      </c>
      <c r="CE49" s="661">
        <f t="shared" si="39"/>
        <v>22.36</v>
      </c>
      <c r="CF49" s="661">
        <f t="shared" si="39"/>
        <v>11.02</v>
      </c>
      <c r="CG49" s="661">
        <v>134.25</v>
      </c>
      <c r="CH49" s="661" t="str">
        <f t="shared" si="39"/>
        <v>нд</v>
      </c>
      <c r="CI49" s="661" t="str">
        <f t="shared" si="39"/>
        <v>нд</v>
      </c>
      <c r="CJ49" s="661">
        <f t="shared" si="39"/>
        <v>81.81</v>
      </c>
      <c r="CK49" s="661">
        <v>52.44</v>
      </c>
      <c r="CL49" s="661">
        <f t="shared" si="39"/>
        <v>134.25</v>
      </c>
      <c r="CM49" s="661" t="str">
        <f t="shared" si="39"/>
        <v>нд</v>
      </c>
      <c r="CN49" s="661" t="str">
        <f t="shared" si="39"/>
        <v>нд</v>
      </c>
      <c r="CO49" s="661">
        <f t="shared" si="39"/>
        <v>81.81</v>
      </c>
      <c r="CP49" s="661">
        <f t="shared" si="39"/>
        <v>52.44</v>
      </c>
      <c r="CQ49" s="944"/>
      <c r="CS49" s="561"/>
      <c r="CT49" s="564"/>
    </row>
    <row r="50" spans="1:98" s="466" customFormat="1" ht="68.25" customHeight="1" x14ac:dyDescent="0.5">
      <c r="A50" s="938" t="s">
        <v>947</v>
      </c>
      <c r="B50" s="946" t="s">
        <v>1744</v>
      </c>
      <c r="C50" s="460" t="str">
        <f>CONCATENATE("J","_",E50,"_",A50)</f>
        <v>J_2021_1.2.3.1.1</v>
      </c>
      <c r="D50" s="460" t="s">
        <v>621</v>
      </c>
      <c r="E50" s="460">
        <v>2021</v>
      </c>
      <c r="F50" s="460" t="s">
        <v>621</v>
      </c>
      <c r="G50" s="460">
        <v>2024</v>
      </c>
      <c r="H50" s="461" t="s">
        <v>621</v>
      </c>
      <c r="I50" s="461" t="s">
        <v>621</v>
      </c>
      <c r="J50" s="471" t="s">
        <v>621</v>
      </c>
      <c r="K50" s="461">
        <v>122.49</v>
      </c>
      <c r="L50" s="461">
        <f>K50</f>
        <v>122.49</v>
      </c>
      <c r="M50" s="471">
        <v>43891</v>
      </c>
      <c r="N50" s="460" t="s">
        <v>621</v>
      </c>
      <c r="O50" s="460" t="s">
        <v>621</v>
      </c>
      <c r="P50" s="460">
        <v>0</v>
      </c>
      <c r="Q50" s="460">
        <v>134.25</v>
      </c>
      <c r="R50" s="461">
        <f>K50</f>
        <v>122.49</v>
      </c>
      <c r="S50" s="461">
        <f>AN50+AX50+BH50+BR50+CB50</f>
        <v>134.25</v>
      </c>
      <c r="T50" s="461">
        <v>134.25</v>
      </c>
      <c r="U50" s="661">
        <v>134.25</v>
      </c>
      <c r="V50" s="460" t="s">
        <v>621</v>
      </c>
      <c r="W50" s="460" t="s">
        <v>621</v>
      </c>
      <c r="X50" s="460" t="s">
        <v>621</v>
      </c>
      <c r="Y50" s="460" t="s">
        <v>621</v>
      </c>
      <c r="Z50" s="460" t="s">
        <v>621</v>
      </c>
      <c r="AA50" s="460" t="s">
        <v>621</v>
      </c>
      <c r="AB50" s="460" t="s">
        <v>621</v>
      </c>
      <c r="AC50" s="460" t="s">
        <v>621</v>
      </c>
      <c r="AD50" s="460" t="s">
        <v>621</v>
      </c>
      <c r="AE50" s="460" t="s">
        <v>621</v>
      </c>
      <c r="AF50" s="460" t="s">
        <v>621</v>
      </c>
      <c r="AG50" s="460" t="s">
        <v>621</v>
      </c>
      <c r="AH50" s="460" t="s">
        <v>621</v>
      </c>
      <c r="AI50" s="460">
        <v>0</v>
      </c>
      <c r="AJ50" s="460" t="s">
        <v>621</v>
      </c>
      <c r="AK50" s="460" t="s">
        <v>621</v>
      </c>
      <c r="AL50" s="460">
        <v>0</v>
      </c>
      <c r="AM50" s="460">
        <v>0</v>
      </c>
      <c r="AN50" s="460">
        <v>0</v>
      </c>
      <c r="AO50" s="460" t="s">
        <v>621</v>
      </c>
      <c r="AP50" s="460" t="s">
        <v>621</v>
      </c>
      <c r="AQ50" s="460">
        <v>0</v>
      </c>
      <c r="AR50" s="460">
        <f>AM50</f>
        <v>0</v>
      </c>
      <c r="AS50" s="460">
        <f>AV50</f>
        <v>32.26</v>
      </c>
      <c r="AT50" s="460" t="s">
        <v>621</v>
      </c>
      <c r="AU50" s="460" t="s">
        <v>621</v>
      </c>
      <c r="AV50" s="460">
        <v>32.26</v>
      </c>
      <c r="AW50" s="460">
        <v>0</v>
      </c>
      <c r="AX50" s="460">
        <f>BA50+BB50</f>
        <v>32.26</v>
      </c>
      <c r="AY50" s="460" t="s">
        <v>621</v>
      </c>
      <c r="AZ50" s="460" t="s">
        <v>621</v>
      </c>
      <c r="BA50" s="461">
        <v>32.26</v>
      </c>
      <c r="BB50" s="460">
        <v>0</v>
      </c>
      <c r="BC50" s="461">
        <f>BF50+BG50</f>
        <v>32.75</v>
      </c>
      <c r="BD50" s="460" t="s">
        <v>621</v>
      </c>
      <c r="BE50" s="460" t="s">
        <v>621</v>
      </c>
      <c r="BF50" s="461">
        <f t="shared" si="35"/>
        <v>12.79</v>
      </c>
      <c r="BG50" s="461">
        <f t="shared" si="35"/>
        <v>19.96</v>
      </c>
      <c r="BH50" s="460">
        <f>BK50+BL50</f>
        <v>32.75</v>
      </c>
      <c r="BI50" s="460" t="s">
        <v>621</v>
      </c>
      <c r="BJ50" s="460" t="s">
        <v>621</v>
      </c>
      <c r="BK50" s="461">
        <v>12.79</v>
      </c>
      <c r="BL50" s="460">
        <v>19.96</v>
      </c>
      <c r="BM50" s="661">
        <f>BR50</f>
        <v>35.86</v>
      </c>
      <c r="BN50" s="460" t="s">
        <v>621</v>
      </c>
      <c r="BO50" s="460" t="s">
        <v>621</v>
      </c>
      <c r="BP50" s="661">
        <f t="shared" si="37"/>
        <v>14.4</v>
      </c>
      <c r="BQ50" s="661">
        <f t="shared" si="37"/>
        <v>21.46</v>
      </c>
      <c r="BR50" s="460">
        <f>BU50+BV50</f>
        <v>35.86</v>
      </c>
      <c r="BS50" s="460" t="s">
        <v>621</v>
      </c>
      <c r="BT50" s="460" t="s">
        <v>621</v>
      </c>
      <c r="BU50" s="460">
        <v>14.4</v>
      </c>
      <c r="BV50" s="460">
        <v>21.46</v>
      </c>
      <c r="BW50" s="661">
        <f>CB50</f>
        <v>33.380000000000003</v>
      </c>
      <c r="BX50" s="460" t="s">
        <v>621</v>
      </c>
      <c r="BY50" s="460" t="s">
        <v>621</v>
      </c>
      <c r="BZ50" s="661">
        <f t="shared" si="40"/>
        <v>22.36</v>
      </c>
      <c r="CA50" s="661">
        <f t="shared" si="40"/>
        <v>11.02</v>
      </c>
      <c r="CB50" s="460">
        <f>CE50+CF50</f>
        <v>33.380000000000003</v>
      </c>
      <c r="CC50" s="460" t="s">
        <v>621</v>
      </c>
      <c r="CD50" s="460" t="s">
        <v>621</v>
      </c>
      <c r="CE50" s="460">
        <v>22.36</v>
      </c>
      <c r="CF50" s="460">
        <v>11.02</v>
      </c>
      <c r="CG50" s="461">
        <v>134.25</v>
      </c>
      <c r="CH50" s="461" t="str">
        <f>BX50</f>
        <v>нд</v>
      </c>
      <c r="CI50" s="461" t="str">
        <f>BY50</f>
        <v>нд</v>
      </c>
      <c r="CJ50" s="461">
        <f>CO50</f>
        <v>81.81</v>
      </c>
      <c r="CK50" s="461">
        <v>52.44</v>
      </c>
      <c r="CL50" s="461">
        <f>CB50+BR50+BH50+AX50+AN50</f>
        <v>134.25</v>
      </c>
      <c r="CM50" s="460" t="s">
        <v>621</v>
      </c>
      <c r="CN50" s="460" t="s">
        <v>621</v>
      </c>
      <c r="CO50" s="461">
        <f>CE50+BU50+BK50+BA50+AQ50</f>
        <v>81.81</v>
      </c>
      <c r="CP50" s="461">
        <f>CF50+BV50+BL50+BB50+AR50</f>
        <v>52.44</v>
      </c>
      <c r="CQ50" s="460"/>
      <c r="CS50" s="561"/>
      <c r="CT50" s="563"/>
    </row>
    <row r="51" spans="1:98" s="252" customFormat="1" ht="105.75" customHeight="1" x14ac:dyDescent="0.5">
      <c r="A51" s="467" t="s">
        <v>547</v>
      </c>
      <c r="B51" s="454" t="s">
        <v>705</v>
      </c>
      <c r="C51" s="468" t="s">
        <v>621</v>
      </c>
      <c r="D51" s="468" t="s">
        <v>621</v>
      </c>
      <c r="E51" s="468" t="s">
        <v>621</v>
      </c>
      <c r="F51" s="468" t="s">
        <v>621</v>
      </c>
      <c r="G51" s="468" t="s">
        <v>621</v>
      </c>
      <c r="H51" s="456">
        <f>H52</f>
        <v>152.27000000000001</v>
      </c>
      <c r="I51" s="456">
        <f>I52</f>
        <v>152.27000000000001</v>
      </c>
      <c r="J51" s="456" t="s">
        <v>621</v>
      </c>
      <c r="K51" s="456">
        <f>K52</f>
        <v>139.85</v>
      </c>
      <c r="L51" s="456">
        <f>L52</f>
        <v>141.05000000000001</v>
      </c>
      <c r="M51" s="468" t="s">
        <v>621</v>
      </c>
      <c r="N51" s="468" t="s">
        <v>621</v>
      </c>
      <c r="O51" s="468" t="s">
        <v>621</v>
      </c>
      <c r="P51" s="456">
        <f t="shared" ref="P51:U51" si="41">P52</f>
        <v>152.27000000000001</v>
      </c>
      <c r="Q51" s="456">
        <f t="shared" si="41"/>
        <v>169.31</v>
      </c>
      <c r="R51" s="1107">
        <f t="shared" si="41"/>
        <v>119.43</v>
      </c>
      <c r="S51" s="1107">
        <f t="shared" ca="1" si="41"/>
        <v>159.97</v>
      </c>
      <c r="T51" s="1107">
        <f t="shared" si="41"/>
        <v>169.31</v>
      </c>
      <c r="U51" s="456">
        <f t="shared" ca="1" si="41"/>
        <v>159.97</v>
      </c>
      <c r="V51" s="468" t="s">
        <v>621</v>
      </c>
      <c r="W51" s="468" t="s">
        <v>621</v>
      </c>
      <c r="X51" s="468" t="s">
        <v>621</v>
      </c>
      <c r="Y51" s="468" t="s">
        <v>621</v>
      </c>
      <c r="Z51" s="468" t="s">
        <v>621</v>
      </c>
      <c r="AA51" s="468" t="s">
        <v>621</v>
      </c>
      <c r="AB51" s="468" t="s">
        <v>621</v>
      </c>
      <c r="AC51" s="468" t="s">
        <v>621</v>
      </c>
      <c r="AD51" s="468" t="s">
        <v>621</v>
      </c>
      <c r="AE51" s="468" t="s">
        <v>621</v>
      </c>
      <c r="AF51" s="468" t="s">
        <v>621</v>
      </c>
      <c r="AG51" s="468" t="s">
        <v>621</v>
      </c>
      <c r="AH51" s="468" t="s">
        <v>621</v>
      </c>
      <c r="AI51" s="456">
        <f>AI52</f>
        <v>41.72</v>
      </c>
      <c r="AJ51" s="468" t="s">
        <v>621</v>
      </c>
      <c r="AK51" s="468" t="s">
        <v>621</v>
      </c>
      <c r="AL51" s="468">
        <f>AL52</f>
        <v>0</v>
      </c>
      <c r="AM51" s="456">
        <f>AM52</f>
        <v>41.72</v>
      </c>
      <c r="AN51" s="456">
        <f>AN52</f>
        <v>41.72</v>
      </c>
      <c r="AO51" s="493" t="s">
        <v>621</v>
      </c>
      <c r="AP51" s="493" t="s">
        <v>621</v>
      </c>
      <c r="AQ51" s="456">
        <f>AQ52</f>
        <v>0</v>
      </c>
      <c r="AR51" s="456">
        <f>AR52</f>
        <v>41.72</v>
      </c>
      <c r="AS51" s="456">
        <f>AS52</f>
        <v>19.57</v>
      </c>
      <c r="AT51" s="468" t="s">
        <v>621</v>
      </c>
      <c r="AU51" s="1111" t="s">
        <v>621</v>
      </c>
      <c r="AV51" s="1111">
        <f>AV52</f>
        <v>0</v>
      </c>
      <c r="AW51" s="1110">
        <f>AW52</f>
        <v>19.57</v>
      </c>
      <c r="AX51" s="1110">
        <f>AX52</f>
        <v>14.48</v>
      </c>
      <c r="AY51" s="1111" t="s">
        <v>621</v>
      </c>
      <c r="AZ51" s="1111" t="s">
        <v>621</v>
      </c>
      <c r="BA51" s="1111">
        <v>0</v>
      </c>
      <c r="BB51" s="1107">
        <f>BB52</f>
        <v>14.48</v>
      </c>
      <c r="BC51" s="1107">
        <f>BC52</f>
        <v>54.25</v>
      </c>
      <c r="BD51" s="1111" t="s">
        <v>621</v>
      </c>
      <c r="BE51" s="1111" t="s">
        <v>621</v>
      </c>
      <c r="BF51" s="1111">
        <f>BF52</f>
        <v>0</v>
      </c>
      <c r="BG51" s="1107">
        <f>BG52</f>
        <v>54.25</v>
      </c>
      <c r="BH51" s="1107">
        <f>BH52</f>
        <v>45.58</v>
      </c>
      <c r="BI51" s="1111" t="s">
        <v>621</v>
      </c>
      <c r="BJ51" s="1111" t="s">
        <v>621</v>
      </c>
      <c r="BK51" s="1111">
        <v>0</v>
      </c>
      <c r="BL51" s="1107">
        <f>BL52</f>
        <v>45.58</v>
      </c>
      <c r="BM51" s="1110">
        <f>BM52</f>
        <v>8.98</v>
      </c>
      <c r="BN51" s="1111" t="s">
        <v>621</v>
      </c>
      <c r="BO51" s="1111" t="s">
        <v>621</v>
      </c>
      <c r="BP51" s="1111">
        <f>BP52</f>
        <v>0</v>
      </c>
      <c r="BQ51" s="1110">
        <f>BQ52</f>
        <v>8.98</v>
      </c>
      <c r="BR51" s="1110">
        <f>BR52</f>
        <v>9.61</v>
      </c>
      <c r="BS51" s="468" t="s">
        <v>621</v>
      </c>
      <c r="BT51" s="468" t="s">
        <v>621</v>
      </c>
      <c r="BU51" s="468">
        <v>0</v>
      </c>
      <c r="BV51" s="456">
        <f>BV52</f>
        <v>9.61</v>
      </c>
      <c r="BW51" s="456">
        <f>BW52</f>
        <v>47.01</v>
      </c>
      <c r="BX51" s="468" t="s">
        <v>621</v>
      </c>
      <c r="BY51" s="468" t="s">
        <v>621</v>
      </c>
      <c r="BZ51" s="469">
        <f>BZ52</f>
        <v>0</v>
      </c>
      <c r="CA51" s="456">
        <f>CA52</f>
        <v>48.58</v>
      </c>
      <c r="CB51" s="456">
        <f>CB52</f>
        <v>48.58</v>
      </c>
      <c r="CC51" s="468" t="s">
        <v>621</v>
      </c>
      <c r="CD51" s="468" t="s">
        <v>621</v>
      </c>
      <c r="CE51" s="469">
        <v>0</v>
      </c>
      <c r="CF51" s="456">
        <f>CF52</f>
        <v>48.58</v>
      </c>
      <c r="CG51" s="456">
        <f>CG52</f>
        <v>169.31</v>
      </c>
      <c r="CH51" s="468" t="s">
        <v>621</v>
      </c>
      <c r="CI51" s="468" t="s">
        <v>621</v>
      </c>
      <c r="CJ51" s="469">
        <f>CJ52</f>
        <v>0</v>
      </c>
      <c r="CK51" s="456">
        <f>CK52</f>
        <v>169.31</v>
      </c>
      <c r="CL51" s="468">
        <f>CL52</f>
        <v>159.97</v>
      </c>
      <c r="CM51" s="468" t="s">
        <v>621</v>
      </c>
      <c r="CN51" s="468" t="s">
        <v>621</v>
      </c>
      <c r="CO51" s="468">
        <f>CO52</f>
        <v>0</v>
      </c>
      <c r="CP51" s="468">
        <f>CP52</f>
        <v>159.97</v>
      </c>
      <c r="CQ51" s="468"/>
      <c r="CS51" s="561"/>
      <c r="CT51" s="565"/>
    </row>
    <row r="52" spans="1:98" s="252" customFormat="1" ht="107.25" customHeight="1" x14ac:dyDescent="0.5">
      <c r="A52" s="467" t="s">
        <v>604</v>
      </c>
      <c r="B52" s="454" t="s">
        <v>707</v>
      </c>
      <c r="C52" s="468" t="s">
        <v>621</v>
      </c>
      <c r="D52" s="468" t="s">
        <v>621</v>
      </c>
      <c r="E52" s="468" t="s">
        <v>621</v>
      </c>
      <c r="F52" s="468" t="s">
        <v>621</v>
      </c>
      <c r="G52" s="468" t="s">
        <v>621</v>
      </c>
      <c r="H52" s="456">
        <f>SUM(H53:H69)</f>
        <v>152.27000000000001</v>
      </c>
      <c r="I52" s="456">
        <f>SUM(I53:I69)</f>
        <v>152.27000000000001</v>
      </c>
      <c r="J52" s="456" t="s">
        <v>621</v>
      </c>
      <c r="K52" s="456">
        <f>SUM(K53:K69)</f>
        <v>139.85</v>
      </c>
      <c r="L52" s="456">
        <f>SUM(L53:L69)</f>
        <v>141.05000000000001</v>
      </c>
      <c r="M52" s="468" t="s">
        <v>621</v>
      </c>
      <c r="N52" s="468" t="s">
        <v>621</v>
      </c>
      <c r="O52" s="468" t="s">
        <v>621</v>
      </c>
      <c r="P52" s="456">
        <f>SUM(P53:P69)</f>
        <v>152.27000000000001</v>
      </c>
      <c r="Q52" s="456">
        <f>SUM(Q53:Q69)</f>
        <v>169.31</v>
      </c>
      <c r="R52" s="1107">
        <f>SUM(R53:R69)</f>
        <v>119.43</v>
      </c>
      <c r="S52" s="1107">
        <f ca="1">SUM(S53:S73)</f>
        <v>159.97</v>
      </c>
      <c r="T52" s="1107">
        <f>SUM(T53:T69)</f>
        <v>169.31</v>
      </c>
      <c r="U52" s="456">
        <f ca="1">SUM(U53:U73)</f>
        <v>159.97</v>
      </c>
      <c r="V52" s="468" t="s">
        <v>621</v>
      </c>
      <c r="W52" s="468" t="s">
        <v>621</v>
      </c>
      <c r="X52" s="468" t="s">
        <v>621</v>
      </c>
      <c r="Y52" s="468" t="s">
        <v>621</v>
      </c>
      <c r="Z52" s="468" t="s">
        <v>621</v>
      </c>
      <c r="AA52" s="468" t="s">
        <v>621</v>
      </c>
      <c r="AB52" s="468" t="s">
        <v>621</v>
      </c>
      <c r="AC52" s="468" t="s">
        <v>621</v>
      </c>
      <c r="AD52" s="468" t="s">
        <v>621</v>
      </c>
      <c r="AE52" s="468" t="s">
        <v>621</v>
      </c>
      <c r="AF52" s="468" t="s">
        <v>621</v>
      </c>
      <c r="AG52" s="468" t="s">
        <v>621</v>
      </c>
      <c r="AH52" s="468" t="s">
        <v>621</v>
      </c>
      <c r="AI52" s="456">
        <f>SUM(AI53:AI69)</f>
        <v>41.72</v>
      </c>
      <c r="AJ52" s="468" t="s">
        <v>621</v>
      </c>
      <c r="AK52" s="468" t="s">
        <v>621</v>
      </c>
      <c r="AL52" s="468">
        <f>AL53+AL54+AL55</f>
        <v>0</v>
      </c>
      <c r="AM52" s="456">
        <f>SUM(AM53:AM69)</f>
        <v>41.72</v>
      </c>
      <c r="AN52" s="456">
        <f>SUM(AN53:AN69)</f>
        <v>41.72</v>
      </c>
      <c r="AO52" s="493" t="s">
        <v>621</v>
      </c>
      <c r="AP52" s="493" t="s">
        <v>621</v>
      </c>
      <c r="AQ52" s="456">
        <f>SUM(AQ53:AQ69)</f>
        <v>0</v>
      </c>
      <c r="AR52" s="456">
        <f>SUM(AR53:AR69)</f>
        <v>41.72</v>
      </c>
      <c r="AS52" s="456">
        <f>SUM(AS53:AS69)</f>
        <v>19.57</v>
      </c>
      <c r="AT52" s="468" t="s">
        <v>621</v>
      </c>
      <c r="AU52" s="1111" t="s">
        <v>621</v>
      </c>
      <c r="AV52" s="1111">
        <f>AV56+AV57</f>
        <v>0</v>
      </c>
      <c r="AW52" s="1110">
        <f>SUM(AW53:AW69)</f>
        <v>19.57</v>
      </c>
      <c r="AX52" s="1110">
        <f>SUM(AX53:AX71)</f>
        <v>14.48</v>
      </c>
      <c r="AY52" s="1111" t="s">
        <v>621</v>
      </c>
      <c r="AZ52" s="1111" t="s">
        <v>621</v>
      </c>
      <c r="BA52" s="1111">
        <v>0</v>
      </c>
      <c r="BB52" s="1107">
        <f>BB56+BB57</f>
        <v>14.48</v>
      </c>
      <c r="BC52" s="1107">
        <f>SUM(BC53:BC69)</f>
        <v>54.25</v>
      </c>
      <c r="BD52" s="1111" t="s">
        <v>621</v>
      </c>
      <c r="BE52" s="1111" t="s">
        <v>621</v>
      </c>
      <c r="BF52" s="1111">
        <f>BF58+BF59+BF60</f>
        <v>0</v>
      </c>
      <c r="BG52" s="1107">
        <f>BG58+BG59+BG60</f>
        <v>54.25</v>
      </c>
      <c r="BH52" s="1107">
        <f>BH58+BH59+BH60+BH72+BH73</f>
        <v>45.58</v>
      </c>
      <c r="BI52" s="1107" t="s">
        <v>621</v>
      </c>
      <c r="BJ52" s="1107" t="s">
        <v>621</v>
      </c>
      <c r="BK52" s="1107" t="s">
        <v>621</v>
      </c>
      <c r="BL52" s="1107">
        <f>BL58+BL59+BL60+BL72+BL73</f>
        <v>45.58</v>
      </c>
      <c r="BM52" s="1110">
        <f>BM61+BM62+BM63+BM64+BM65+BM66+BM67</f>
        <v>8.98</v>
      </c>
      <c r="BN52" s="1111" t="s">
        <v>621</v>
      </c>
      <c r="BO52" s="1111" t="s">
        <v>621</v>
      </c>
      <c r="BP52" s="1111">
        <f>BP61+BP62+BP63+BP64+BP65+BP66+BP67</f>
        <v>0</v>
      </c>
      <c r="BQ52" s="1110">
        <f>BQ61+BQ62+BQ63+BQ64+BQ65+BQ66+BQ67</f>
        <v>8.98</v>
      </c>
      <c r="BR52" s="1110">
        <f>BR61+BR62+BR63+BR64+BR65+BR66+BR67</f>
        <v>9.61</v>
      </c>
      <c r="BS52" s="468" t="s">
        <v>621</v>
      </c>
      <c r="BT52" s="468" t="s">
        <v>621</v>
      </c>
      <c r="BU52" s="468">
        <v>0</v>
      </c>
      <c r="BV52" s="455">
        <f>BV61+BV62+BV63+BV64+BV65+BV66+BV67</f>
        <v>9.61</v>
      </c>
      <c r="BW52" s="456">
        <f>BW68+BW69</f>
        <v>47.01</v>
      </c>
      <c r="BX52" s="468" t="s">
        <v>621</v>
      </c>
      <c r="BY52" s="468" t="s">
        <v>621</v>
      </c>
      <c r="BZ52" s="469">
        <f>BZ68</f>
        <v>0</v>
      </c>
      <c r="CA52" s="456">
        <f>CA68+CA69</f>
        <v>48.58</v>
      </c>
      <c r="CB52" s="456">
        <f>CB68+CB69</f>
        <v>48.58</v>
      </c>
      <c r="CC52" s="468" t="s">
        <v>621</v>
      </c>
      <c r="CD52" s="468" t="s">
        <v>621</v>
      </c>
      <c r="CE52" s="469">
        <v>0</v>
      </c>
      <c r="CF52" s="456">
        <f>CF68+CF69</f>
        <v>48.58</v>
      </c>
      <c r="CG52" s="456">
        <f>SUM(CG53:CG69)</f>
        <v>169.31</v>
      </c>
      <c r="CH52" s="468" t="s">
        <v>621</v>
      </c>
      <c r="CI52" s="468" t="s">
        <v>621</v>
      </c>
      <c r="CJ52" s="469">
        <f>SUM(CJ53:CJ68)</f>
        <v>0</v>
      </c>
      <c r="CK52" s="456">
        <f>SUM(CK53:CK69)</f>
        <v>169.31</v>
      </c>
      <c r="CL52" s="469">
        <f>CL53+CL54+CL55+CL56+CL57+CL58+CL59+CL60+CL61+CL62+CL63+CL64+CL65+CL66+CL67+CL68+CL69+CL72+CL73</f>
        <v>159.97</v>
      </c>
      <c r="CM52" s="468" t="s">
        <v>621</v>
      </c>
      <c r="CN52" s="468" t="s">
        <v>621</v>
      </c>
      <c r="CO52" s="469">
        <f>CO53+CO54+CO55+CO56+CO57+CO58+CO59+CO60+CO61+CO62+CO63+CO64+CO65+CO66+CO67+CO68+CO69+CO72+CO73</f>
        <v>0</v>
      </c>
      <c r="CP52" s="469">
        <f>CP53+CP54+CP55+CP56+CP57+CP58+CP59+CP60+CP61+CP62+CP63+CP64+CP65+CP66+CP67+CP68+CP69+CP72+CP73</f>
        <v>159.97</v>
      </c>
      <c r="CQ52" s="468"/>
      <c r="CS52" s="561"/>
      <c r="CT52" s="565"/>
    </row>
    <row r="53" spans="1:98" s="253" customFormat="1" ht="48.75" customHeight="1" x14ac:dyDescent="0.5">
      <c r="A53" s="462" t="s">
        <v>885</v>
      </c>
      <c r="B53" s="470" t="s">
        <v>860</v>
      </c>
      <c r="C53" s="460" t="str">
        <f t="shared" ref="C53:C73" si="42">CONCATENATE("J","_",E53,"_",A53)</f>
        <v>J_2020_1.2.4.2.1</v>
      </c>
      <c r="D53" s="460" t="s">
        <v>823</v>
      </c>
      <c r="E53" s="460">
        <v>2020</v>
      </c>
      <c r="F53" s="460">
        <v>2020</v>
      </c>
      <c r="G53" s="460" t="s">
        <v>621</v>
      </c>
      <c r="H53" s="461">
        <v>8.85</v>
      </c>
      <c r="I53" s="461">
        <f t="shared" ref="I53:I69" si="43">H53</f>
        <v>8.85</v>
      </c>
      <c r="J53" s="471">
        <v>43709</v>
      </c>
      <c r="K53" s="461">
        <f>H53</f>
        <v>8.85</v>
      </c>
      <c r="L53" s="461">
        <f>I53</f>
        <v>8.85</v>
      </c>
      <c r="M53" s="471">
        <v>43709</v>
      </c>
      <c r="N53" s="460" t="s">
        <v>621</v>
      </c>
      <c r="O53" s="460" t="s">
        <v>621</v>
      </c>
      <c r="P53" s="461">
        <f t="shared" ref="P53:P69" si="44">H53</f>
        <v>8.85</v>
      </c>
      <c r="Q53" s="461">
        <v>9.17</v>
      </c>
      <c r="R53" s="461">
        <f>P53</f>
        <v>8.85</v>
      </c>
      <c r="S53" s="461">
        <f>T53</f>
        <v>9.17</v>
      </c>
      <c r="T53" s="461">
        <v>9.17</v>
      </c>
      <c r="U53" s="661">
        <f>Q53</f>
        <v>9.17</v>
      </c>
      <c r="V53" s="460" t="s">
        <v>621</v>
      </c>
      <c r="W53" s="460" t="s">
        <v>621</v>
      </c>
      <c r="X53" s="460" t="s">
        <v>621</v>
      </c>
      <c r="Y53" s="460" t="s">
        <v>621</v>
      </c>
      <c r="Z53" s="460" t="s">
        <v>621</v>
      </c>
      <c r="AA53" s="460" t="s">
        <v>621</v>
      </c>
      <c r="AB53" s="460" t="s">
        <v>621</v>
      </c>
      <c r="AC53" s="460" t="s">
        <v>621</v>
      </c>
      <c r="AD53" s="460" t="s">
        <v>621</v>
      </c>
      <c r="AE53" s="460" t="s">
        <v>621</v>
      </c>
      <c r="AF53" s="460" t="s">
        <v>621</v>
      </c>
      <c r="AG53" s="460" t="s">
        <v>621</v>
      </c>
      <c r="AH53" s="460" t="s">
        <v>621</v>
      </c>
      <c r="AI53" s="461">
        <f>Q53</f>
        <v>9.17</v>
      </c>
      <c r="AJ53" s="460" t="s">
        <v>621</v>
      </c>
      <c r="AK53" s="460" t="s">
        <v>621</v>
      </c>
      <c r="AL53" s="460">
        <v>0</v>
      </c>
      <c r="AM53" s="460">
        <f>AI53</f>
        <v>9.17</v>
      </c>
      <c r="AN53" s="461">
        <f>AI53</f>
        <v>9.17</v>
      </c>
      <c r="AO53" s="460" t="s">
        <v>621</v>
      </c>
      <c r="AP53" s="460" t="s">
        <v>621</v>
      </c>
      <c r="AQ53" s="460">
        <f>AL53</f>
        <v>0</v>
      </c>
      <c r="AR53" s="460">
        <f>AM53</f>
        <v>9.17</v>
      </c>
      <c r="AS53" s="460">
        <v>0</v>
      </c>
      <c r="AT53" s="460" t="s">
        <v>621</v>
      </c>
      <c r="AU53" s="460" t="s">
        <v>621</v>
      </c>
      <c r="AV53" s="460">
        <v>0</v>
      </c>
      <c r="AW53" s="460">
        <v>0</v>
      </c>
      <c r="AX53" s="460" t="s">
        <v>621</v>
      </c>
      <c r="AY53" s="460" t="s">
        <v>621</v>
      </c>
      <c r="AZ53" s="460" t="s">
        <v>621</v>
      </c>
      <c r="BA53" s="460" t="s">
        <v>621</v>
      </c>
      <c r="BB53" s="460" t="s">
        <v>621</v>
      </c>
      <c r="BC53" s="460">
        <v>0</v>
      </c>
      <c r="BD53" s="460" t="s">
        <v>621</v>
      </c>
      <c r="BE53" s="460" t="s">
        <v>621</v>
      </c>
      <c r="BF53" s="460">
        <v>0</v>
      </c>
      <c r="BG53" s="460">
        <v>0</v>
      </c>
      <c r="BH53" s="460" t="s">
        <v>621</v>
      </c>
      <c r="BI53" s="460" t="s">
        <v>621</v>
      </c>
      <c r="BJ53" s="460" t="s">
        <v>621</v>
      </c>
      <c r="BK53" s="460" t="s">
        <v>621</v>
      </c>
      <c r="BL53" s="460" t="s">
        <v>621</v>
      </c>
      <c r="BM53" s="460">
        <v>0</v>
      </c>
      <c r="BN53" s="460" t="s">
        <v>621</v>
      </c>
      <c r="BO53" s="460" t="s">
        <v>621</v>
      </c>
      <c r="BP53" s="460">
        <v>0</v>
      </c>
      <c r="BQ53" s="460">
        <v>0</v>
      </c>
      <c r="BR53" s="460" t="s">
        <v>621</v>
      </c>
      <c r="BS53" s="460" t="s">
        <v>621</v>
      </c>
      <c r="BT53" s="460" t="s">
        <v>621</v>
      </c>
      <c r="BU53" s="460" t="s">
        <v>621</v>
      </c>
      <c r="BV53" s="460" t="s">
        <v>621</v>
      </c>
      <c r="BW53" s="461">
        <v>0</v>
      </c>
      <c r="BX53" s="460" t="s">
        <v>621</v>
      </c>
      <c r="BY53" s="460" t="s">
        <v>621</v>
      </c>
      <c r="BZ53" s="461">
        <v>0</v>
      </c>
      <c r="CA53" s="461">
        <v>0</v>
      </c>
      <c r="CB53" s="460" t="s">
        <v>621</v>
      </c>
      <c r="CC53" s="460" t="s">
        <v>621</v>
      </c>
      <c r="CD53" s="460" t="s">
        <v>621</v>
      </c>
      <c r="CE53" s="460" t="s">
        <v>621</v>
      </c>
      <c r="CF53" s="460" t="s">
        <v>621</v>
      </c>
      <c r="CG53" s="461">
        <f>CK53</f>
        <v>9.17</v>
      </c>
      <c r="CH53" s="460" t="s">
        <v>621</v>
      </c>
      <c r="CI53" s="460" t="s">
        <v>621</v>
      </c>
      <c r="CJ53" s="461">
        <v>0</v>
      </c>
      <c r="CK53" s="461">
        <f>Q53</f>
        <v>9.17</v>
      </c>
      <c r="CL53" s="461">
        <f>CP53</f>
        <v>9.17</v>
      </c>
      <c r="CM53" s="460" t="s">
        <v>621</v>
      </c>
      <c r="CN53" s="460" t="s">
        <v>621</v>
      </c>
      <c r="CO53" s="461">
        <f>CJ53</f>
        <v>0</v>
      </c>
      <c r="CP53" s="461">
        <f>U53</f>
        <v>9.17</v>
      </c>
      <c r="CQ53" s="460"/>
      <c r="CS53" s="561"/>
      <c r="CT53" s="562"/>
    </row>
    <row r="54" spans="1:98" s="253" customFormat="1" ht="45.75" customHeight="1" x14ac:dyDescent="0.5">
      <c r="A54" s="462" t="s">
        <v>886</v>
      </c>
      <c r="B54" s="470" t="s">
        <v>861</v>
      </c>
      <c r="C54" s="460" t="str">
        <f t="shared" si="42"/>
        <v>J_2020_1.2.4.2.2</v>
      </c>
      <c r="D54" s="460" t="s">
        <v>823</v>
      </c>
      <c r="E54" s="460">
        <v>2020</v>
      </c>
      <c r="F54" s="460">
        <v>2020</v>
      </c>
      <c r="G54" s="460" t="s">
        <v>621</v>
      </c>
      <c r="H54" s="461">
        <v>6.46</v>
      </c>
      <c r="I54" s="461">
        <f t="shared" si="43"/>
        <v>6.46</v>
      </c>
      <c r="J54" s="471">
        <v>43709</v>
      </c>
      <c r="K54" s="461">
        <f t="shared" ref="K54:K69" si="45">H54</f>
        <v>6.46</v>
      </c>
      <c r="L54" s="461">
        <f t="shared" ref="L54:L69" si="46">I54</f>
        <v>6.46</v>
      </c>
      <c r="M54" s="471">
        <v>43709</v>
      </c>
      <c r="N54" s="460" t="s">
        <v>621</v>
      </c>
      <c r="O54" s="460" t="s">
        <v>621</v>
      </c>
      <c r="P54" s="461">
        <f t="shared" si="44"/>
        <v>6.46</v>
      </c>
      <c r="Q54" s="461">
        <v>6.69</v>
      </c>
      <c r="R54" s="461">
        <v>6.69</v>
      </c>
      <c r="S54" s="461">
        <f>T54</f>
        <v>6.69</v>
      </c>
      <c r="T54" s="461">
        <v>6.69</v>
      </c>
      <c r="U54" s="661">
        <f>Q54</f>
        <v>6.69</v>
      </c>
      <c r="V54" s="460" t="s">
        <v>621</v>
      </c>
      <c r="W54" s="460" t="s">
        <v>621</v>
      </c>
      <c r="X54" s="460" t="s">
        <v>621</v>
      </c>
      <c r="Y54" s="460" t="s">
        <v>621</v>
      </c>
      <c r="Z54" s="460" t="s">
        <v>621</v>
      </c>
      <c r="AA54" s="460" t="s">
        <v>621</v>
      </c>
      <c r="AB54" s="460" t="s">
        <v>621</v>
      </c>
      <c r="AC54" s="460" t="s">
        <v>621</v>
      </c>
      <c r="AD54" s="460" t="s">
        <v>621</v>
      </c>
      <c r="AE54" s="460" t="s">
        <v>621</v>
      </c>
      <c r="AF54" s="460" t="s">
        <v>621</v>
      </c>
      <c r="AG54" s="460" t="s">
        <v>621</v>
      </c>
      <c r="AH54" s="460" t="s">
        <v>621</v>
      </c>
      <c r="AI54" s="460">
        <f>Q54</f>
        <v>6.69</v>
      </c>
      <c r="AJ54" s="460" t="s">
        <v>621</v>
      </c>
      <c r="AK54" s="460" t="s">
        <v>621</v>
      </c>
      <c r="AL54" s="460">
        <v>0</v>
      </c>
      <c r="AM54" s="460">
        <f>AI54</f>
        <v>6.69</v>
      </c>
      <c r="AN54" s="461">
        <f t="shared" ref="AN54:AN69" si="47">AI54</f>
        <v>6.69</v>
      </c>
      <c r="AO54" s="460" t="s">
        <v>621</v>
      </c>
      <c r="AP54" s="460" t="s">
        <v>621</v>
      </c>
      <c r="AQ54" s="460">
        <f t="shared" ref="AQ54:AQ69" si="48">AL54</f>
        <v>0</v>
      </c>
      <c r="AR54" s="460">
        <f t="shared" ref="AR54:AR69" si="49">AM54</f>
        <v>6.69</v>
      </c>
      <c r="AS54" s="460">
        <v>0</v>
      </c>
      <c r="AT54" s="460" t="s">
        <v>621</v>
      </c>
      <c r="AU54" s="460" t="s">
        <v>621</v>
      </c>
      <c r="AV54" s="460">
        <v>0</v>
      </c>
      <c r="AW54" s="460">
        <v>0</v>
      </c>
      <c r="AX54" s="460" t="s">
        <v>621</v>
      </c>
      <c r="AY54" s="460" t="s">
        <v>621</v>
      </c>
      <c r="AZ54" s="460" t="s">
        <v>621</v>
      </c>
      <c r="BA54" s="460" t="s">
        <v>621</v>
      </c>
      <c r="BB54" s="460"/>
      <c r="BC54" s="460">
        <v>0</v>
      </c>
      <c r="BD54" s="460" t="s">
        <v>621</v>
      </c>
      <c r="BE54" s="460" t="s">
        <v>621</v>
      </c>
      <c r="BF54" s="460">
        <v>0</v>
      </c>
      <c r="BG54" s="460">
        <v>0</v>
      </c>
      <c r="BH54" s="460" t="s">
        <v>621</v>
      </c>
      <c r="BI54" s="460" t="s">
        <v>621</v>
      </c>
      <c r="BJ54" s="460" t="s">
        <v>621</v>
      </c>
      <c r="BK54" s="460" t="s">
        <v>621</v>
      </c>
      <c r="BL54" s="460" t="s">
        <v>621</v>
      </c>
      <c r="BM54" s="460">
        <v>0</v>
      </c>
      <c r="BN54" s="460" t="s">
        <v>621</v>
      </c>
      <c r="BO54" s="460" t="s">
        <v>621</v>
      </c>
      <c r="BP54" s="460">
        <v>0</v>
      </c>
      <c r="BQ54" s="460">
        <v>0</v>
      </c>
      <c r="BR54" s="460" t="s">
        <v>621</v>
      </c>
      <c r="BS54" s="460" t="s">
        <v>621</v>
      </c>
      <c r="BT54" s="460" t="s">
        <v>621</v>
      </c>
      <c r="BU54" s="460" t="s">
        <v>621</v>
      </c>
      <c r="BV54" s="460" t="s">
        <v>621</v>
      </c>
      <c r="BW54" s="461">
        <v>0</v>
      </c>
      <c r="BX54" s="460" t="s">
        <v>621</v>
      </c>
      <c r="BY54" s="460" t="s">
        <v>621</v>
      </c>
      <c r="BZ54" s="461">
        <v>0</v>
      </c>
      <c r="CA54" s="461">
        <v>0</v>
      </c>
      <c r="CB54" s="460" t="s">
        <v>621</v>
      </c>
      <c r="CC54" s="460" t="s">
        <v>621</v>
      </c>
      <c r="CD54" s="460" t="s">
        <v>621</v>
      </c>
      <c r="CE54" s="460" t="s">
        <v>621</v>
      </c>
      <c r="CF54" s="460" t="s">
        <v>621</v>
      </c>
      <c r="CG54" s="461">
        <f t="shared" ref="CG54:CG73" si="50">CK54</f>
        <v>6.69</v>
      </c>
      <c r="CH54" s="460" t="s">
        <v>621</v>
      </c>
      <c r="CI54" s="460" t="s">
        <v>621</v>
      </c>
      <c r="CJ54" s="461">
        <v>0</v>
      </c>
      <c r="CK54" s="461">
        <f t="shared" ref="CK54:CK73" si="51">Q54</f>
        <v>6.69</v>
      </c>
      <c r="CL54" s="461">
        <f t="shared" ref="CL54:CL73" si="52">CP54</f>
        <v>6.69</v>
      </c>
      <c r="CM54" s="460" t="s">
        <v>621</v>
      </c>
      <c r="CN54" s="460" t="s">
        <v>621</v>
      </c>
      <c r="CO54" s="461">
        <f t="shared" ref="CO54:CO69" si="53">CJ54</f>
        <v>0</v>
      </c>
      <c r="CP54" s="461">
        <f t="shared" ref="CP54:CP73" si="54">U54</f>
        <v>6.69</v>
      </c>
      <c r="CQ54" s="460"/>
      <c r="CS54" s="561"/>
      <c r="CT54" s="562"/>
    </row>
    <row r="55" spans="1:98" s="253" customFormat="1" ht="72" customHeight="1" x14ac:dyDescent="0.5">
      <c r="A55" s="462" t="s">
        <v>887</v>
      </c>
      <c r="B55" s="470" t="s">
        <v>862</v>
      </c>
      <c r="C55" s="460" t="str">
        <f t="shared" si="42"/>
        <v>J_2020_1.2.4.2.3</v>
      </c>
      <c r="D55" s="460" t="s">
        <v>823</v>
      </c>
      <c r="E55" s="460">
        <v>2020</v>
      </c>
      <c r="F55" s="460">
        <v>2020</v>
      </c>
      <c r="G55" s="460" t="s">
        <v>621</v>
      </c>
      <c r="H55" s="461">
        <v>24.96</v>
      </c>
      <c r="I55" s="461">
        <f t="shared" si="43"/>
        <v>24.96</v>
      </c>
      <c r="J55" s="471">
        <v>43709</v>
      </c>
      <c r="K55" s="461">
        <f t="shared" si="45"/>
        <v>24.96</v>
      </c>
      <c r="L55" s="461">
        <f t="shared" si="46"/>
        <v>24.96</v>
      </c>
      <c r="M55" s="471">
        <v>43709</v>
      </c>
      <c r="N55" s="460" t="s">
        <v>621</v>
      </c>
      <c r="O55" s="460" t="s">
        <v>621</v>
      </c>
      <c r="P55" s="461">
        <f t="shared" si="44"/>
        <v>24.96</v>
      </c>
      <c r="Q55" s="461">
        <v>25.86</v>
      </c>
      <c r="R55" s="461">
        <f t="shared" ref="R55:R69" si="55">P55</f>
        <v>24.96</v>
      </c>
      <c r="S55" s="461">
        <f>T55</f>
        <v>25.86</v>
      </c>
      <c r="T55" s="461">
        <f t="shared" ref="T55:T60" si="56">Q55</f>
        <v>25.86</v>
      </c>
      <c r="U55" s="661">
        <f>Q55</f>
        <v>25.86</v>
      </c>
      <c r="V55" s="460" t="s">
        <v>621</v>
      </c>
      <c r="W55" s="460" t="s">
        <v>621</v>
      </c>
      <c r="X55" s="460" t="s">
        <v>621</v>
      </c>
      <c r="Y55" s="460" t="s">
        <v>621</v>
      </c>
      <c r="Z55" s="460" t="s">
        <v>621</v>
      </c>
      <c r="AA55" s="460" t="s">
        <v>621</v>
      </c>
      <c r="AB55" s="460" t="s">
        <v>621</v>
      </c>
      <c r="AC55" s="460" t="s">
        <v>621</v>
      </c>
      <c r="AD55" s="460" t="s">
        <v>621</v>
      </c>
      <c r="AE55" s="460" t="s">
        <v>621</v>
      </c>
      <c r="AF55" s="460" t="s">
        <v>621</v>
      </c>
      <c r="AG55" s="460" t="s">
        <v>621</v>
      </c>
      <c r="AH55" s="460" t="s">
        <v>621</v>
      </c>
      <c r="AI55" s="460">
        <f>Q55</f>
        <v>25.86</v>
      </c>
      <c r="AJ55" s="460" t="s">
        <v>621</v>
      </c>
      <c r="AK55" s="460" t="s">
        <v>621</v>
      </c>
      <c r="AL55" s="460">
        <v>0</v>
      </c>
      <c r="AM55" s="460">
        <f>AI55</f>
        <v>25.86</v>
      </c>
      <c r="AN55" s="461">
        <f t="shared" si="47"/>
        <v>25.86</v>
      </c>
      <c r="AO55" s="460" t="s">
        <v>621</v>
      </c>
      <c r="AP55" s="460" t="s">
        <v>621</v>
      </c>
      <c r="AQ55" s="460">
        <f t="shared" si="48"/>
        <v>0</v>
      </c>
      <c r="AR55" s="460">
        <f t="shared" si="49"/>
        <v>25.86</v>
      </c>
      <c r="AS55" s="460">
        <v>0</v>
      </c>
      <c r="AT55" s="460" t="s">
        <v>621</v>
      </c>
      <c r="AU55" s="460" t="s">
        <v>621</v>
      </c>
      <c r="AV55" s="460">
        <v>0</v>
      </c>
      <c r="AW55" s="460">
        <v>0</v>
      </c>
      <c r="AX55" s="460" t="s">
        <v>621</v>
      </c>
      <c r="AY55" s="460" t="s">
        <v>621</v>
      </c>
      <c r="AZ55" s="460" t="s">
        <v>621</v>
      </c>
      <c r="BA55" s="460" t="s">
        <v>621</v>
      </c>
      <c r="BB55" s="460" t="s">
        <v>621</v>
      </c>
      <c r="BC55" s="460">
        <v>0</v>
      </c>
      <c r="BD55" s="460" t="s">
        <v>621</v>
      </c>
      <c r="BE55" s="460" t="s">
        <v>621</v>
      </c>
      <c r="BF55" s="460">
        <v>0</v>
      </c>
      <c r="BG55" s="460">
        <v>0</v>
      </c>
      <c r="BH55" s="460" t="s">
        <v>621</v>
      </c>
      <c r="BI55" s="460" t="s">
        <v>621</v>
      </c>
      <c r="BJ55" s="460" t="s">
        <v>621</v>
      </c>
      <c r="BK55" s="460" t="s">
        <v>621</v>
      </c>
      <c r="BL55" s="460" t="s">
        <v>621</v>
      </c>
      <c r="BM55" s="460">
        <v>0</v>
      </c>
      <c r="BN55" s="460" t="s">
        <v>621</v>
      </c>
      <c r="BO55" s="460" t="s">
        <v>621</v>
      </c>
      <c r="BP55" s="460">
        <v>0</v>
      </c>
      <c r="BQ55" s="460">
        <v>0</v>
      </c>
      <c r="BR55" s="460" t="s">
        <v>621</v>
      </c>
      <c r="BS55" s="460" t="s">
        <v>621</v>
      </c>
      <c r="BT55" s="460" t="s">
        <v>621</v>
      </c>
      <c r="BU55" s="460" t="s">
        <v>621</v>
      </c>
      <c r="BV55" s="460" t="s">
        <v>621</v>
      </c>
      <c r="BW55" s="461">
        <v>0</v>
      </c>
      <c r="BX55" s="460" t="s">
        <v>621</v>
      </c>
      <c r="BY55" s="460" t="s">
        <v>621</v>
      </c>
      <c r="BZ55" s="461">
        <v>0</v>
      </c>
      <c r="CA55" s="461">
        <v>0</v>
      </c>
      <c r="CB55" s="460" t="s">
        <v>621</v>
      </c>
      <c r="CC55" s="460" t="s">
        <v>621</v>
      </c>
      <c r="CD55" s="460" t="s">
        <v>621</v>
      </c>
      <c r="CE55" s="460" t="s">
        <v>621</v>
      </c>
      <c r="CF55" s="460" t="s">
        <v>621</v>
      </c>
      <c r="CG55" s="461">
        <f t="shared" si="50"/>
        <v>25.86</v>
      </c>
      <c r="CH55" s="460" t="s">
        <v>621</v>
      </c>
      <c r="CI55" s="460" t="s">
        <v>621</v>
      </c>
      <c r="CJ55" s="461">
        <v>0</v>
      </c>
      <c r="CK55" s="461">
        <f t="shared" si="51"/>
        <v>25.86</v>
      </c>
      <c r="CL55" s="461">
        <f t="shared" si="52"/>
        <v>25.86</v>
      </c>
      <c r="CM55" s="460" t="s">
        <v>621</v>
      </c>
      <c r="CN55" s="460" t="s">
        <v>621</v>
      </c>
      <c r="CO55" s="461">
        <f t="shared" si="53"/>
        <v>0</v>
      </c>
      <c r="CP55" s="461">
        <f t="shared" si="54"/>
        <v>25.86</v>
      </c>
      <c r="CQ55" s="460"/>
      <c r="CS55" s="561"/>
      <c r="CT55" s="562"/>
    </row>
    <row r="56" spans="1:98" s="253" customFormat="1" ht="38.25" customHeight="1" x14ac:dyDescent="0.5">
      <c r="A56" s="462" t="s">
        <v>888</v>
      </c>
      <c r="B56" s="470" t="s">
        <v>866</v>
      </c>
      <c r="C56" s="460" t="str">
        <f t="shared" si="42"/>
        <v>J_2021_1.2.4.2.4</v>
      </c>
      <c r="D56" s="460" t="s">
        <v>823</v>
      </c>
      <c r="E56" s="460">
        <v>2021</v>
      </c>
      <c r="F56" s="460">
        <v>2021</v>
      </c>
      <c r="G56" s="460" t="s">
        <v>621</v>
      </c>
      <c r="H56" s="461">
        <v>7.07</v>
      </c>
      <c r="I56" s="461">
        <f t="shared" si="43"/>
        <v>7.07</v>
      </c>
      <c r="J56" s="471">
        <v>43709</v>
      </c>
      <c r="K56" s="461">
        <v>0</v>
      </c>
      <c r="L56" s="461">
        <v>0</v>
      </c>
      <c r="M56" s="471">
        <v>44287</v>
      </c>
      <c r="N56" s="460" t="s">
        <v>621</v>
      </c>
      <c r="O56" s="460" t="s">
        <v>621</v>
      </c>
      <c r="P56" s="461">
        <f t="shared" si="44"/>
        <v>7.07</v>
      </c>
      <c r="Q56" s="461">
        <v>7.6</v>
      </c>
      <c r="R56" s="461">
        <v>0</v>
      </c>
      <c r="S56" s="461">
        <v>0</v>
      </c>
      <c r="T56" s="461">
        <f t="shared" si="56"/>
        <v>7.6</v>
      </c>
      <c r="U56" s="661">
        <v>0</v>
      </c>
      <c r="V56" s="460" t="s">
        <v>621</v>
      </c>
      <c r="W56" s="460" t="s">
        <v>621</v>
      </c>
      <c r="X56" s="460" t="s">
        <v>621</v>
      </c>
      <c r="Y56" s="460" t="s">
        <v>621</v>
      </c>
      <c r="Z56" s="460" t="s">
        <v>621</v>
      </c>
      <c r="AA56" s="460" t="s">
        <v>621</v>
      </c>
      <c r="AB56" s="460" t="s">
        <v>621</v>
      </c>
      <c r="AC56" s="460" t="s">
        <v>621</v>
      </c>
      <c r="AD56" s="460" t="s">
        <v>621</v>
      </c>
      <c r="AE56" s="460" t="s">
        <v>621</v>
      </c>
      <c r="AF56" s="460" t="s">
        <v>621</v>
      </c>
      <c r="AG56" s="460" t="s">
        <v>621</v>
      </c>
      <c r="AH56" s="460" t="s">
        <v>621</v>
      </c>
      <c r="AI56" s="460">
        <v>0</v>
      </c>
      <c r="AJ56" s="460" t="s">
        <v>621</v>
      </c>
      <c r="AK56" s="460" t="s">
        <v>621</v>
      </c>
      <c r="AL56" s="460">
        <v>0</v>
      </c>
      <c r="AM56" s="460">
        <v>0</v>
      </c>
      <c r="AN56" s="461">
        <f t="shared" si="47"/>
        <v>0</v>
      </c>
      <c r="AO56" s="460" t="s">
        <v>621</v>
      </c>
      <c r="AP56" s="460" t="s">
        <v>621</v>
      </c>
      <c r="AQ56" s="460">
        <f t="shared" si="48"/>
        <v>0</v>
      </c>
      <c r="AR56" s="460">
        <f t="shared" si="49"/>
        <v>0</v>
      </c>
      <c r="AS56" s="460">
        <f>Q56</f>
        <v>7.6</v>
      </c>
      <c r="AT56" s="460" t="s">
        <v>621</v>
      </c>
      <c r="AU56" s="460" t="s">
        <v>621</v>
      </c>
      <c r="AV56" s="460">
        <v>0</v>
      </c>
      <c r="AW56" s="460">
        <f>AS56</f>
        <v>7.6</v>
      </c>
      <c r="AX56" s="460">
        <f>BB56</f>
        <v>0</v>
      </c>
      <c r="AY56" s="460" t="s">
        <v>621</v>
      </c>
      <c r="AZ56" s="460" t="s">
        <v>621</v>
      </c>
      <c r="BA56" s="460" t="s">
        <v>621</v>
      </c>
      <c r="BB56" s="460">
        <v>0</v>
      </c>
      <c r="BC56" s="460">
        <v>0</v>
      </c>
      <c r="BD56" s="460" t="s">
        <v>621</v>
      </c>
      <c r="BE56" s="460" t="s">
        <v>621</v>
      </c>
      <c r="BF56" s="460">
        <v>0</v>
      </c>
      <c r="BG56" s="460">
        <v>0</v>
      </c>
      <c r="BH56" s="460" t="s">
        <v>621</v>
      </c>
      <c r="BI56" s="460" t="s">
        <v>621</v>
      </c>
      <c r="BJ56" s="460" t="s">
        <v>621</v>
      </c>
      <c r="BK56" s="460" t="s">
        <v>621</v>
      </c>
      <c r="BL56" s="460" t="s">
        <v>621</v>
      </c>
      <c r="BM56" s="460">
        <v>0</v>
      </c>
      <c r="BN56" s="460" t="s">
        <v>621</v>
      </c>
      <c r="BO56" s="460" t="s">
        <v>621</v>
      </c>
      <c r="BP56" s="460">
        <v>0</v>
      </c>
      <c r="BQ56" s="460">
        <v>0</v>
      </c>
      <c r="BR56" s="460" t="s">
        <v>621</v>
      </c>
      <c r="BS56" s="460" t="s">
        <v>621</v>
      </c>
      <c r="BT56" s="460" t="s">
        <v>621</v>
      </c>
      <c r="BU56" s="460" t="s">
        <v>621</v>
      </c>
      <c r="BV56" s="460" t="s">
        <v>621</v>
      </c>
      <c r="BW56" s="461">
        <v>0</v>
      </c>
      <c r="BX56" s="460" t="s">
        <v>621</v>
      </c>
      <c r="BY56" s="460" t="s">
        <v>621</v>
      </c>
      <c r="BZ56" s="461">
        <v>0</v>
      </c>
      <c r="CA56" s="461">
        <v>0</v>
      </c>
      <c r="CB56" s="460" t="s">
        <v>621</v>
      </c>
      <c r="CC56" s="460" t="s">
        <v>621</v>
      </c>
      <c r="CD56" s="460" t="s">
        <v>621</v>
      </c>
      <c r="CE56" s="460" t="s">
        <v>621</v>
      </c>
      <c r="CF56" s="460" t="s">
        <v>621</v>
      </c>
      <c r="CG56" s="461">
        <f t="shared" si="50"/>
        <v>7.6</v>
      </c>
      <c r="CH56" s="460" t="s">
        <v>621</v>
      </c>
      <c r="CI56" s="460" t="s">
        <v>621</v>
      </c>
      <c r="CJ56" s="461">
        <v>0</v>
      </c>
      <c r="CK56" s="461">
        <f t="shared" si="51"/>
        <v>7.6</v>
      </c>
      <c r="CL56" s="461">
        <f t="shared" si="52"/>
        <v>0</v>
      </c>
      <c r="CM56" s="460" t="s">
        <v>621</v>
      </c>
      <c r="CN56" s="460" t="s">
        <v>621</v>
      </c>
      <c r="CO56" s="461">
        <f t="shared" si="53"/>
        <v>0</v>
      </c>
      <c r="CP56" s="461">
        <f t="shared" si="54"/>
        <v>0</v>
      </c>
      <c r="CQ56" s="460"/>
      <c r="CS56" s="561"/>
      <c r="CT56" s="562"/>
    </row>
    <row r="57" spans="1:98" s="253" customFormat="1" ht="45" customHeight="1" x14ac:dyDescent="0.5">
      <c r="A57" s="462" t="s">
        <v>889</v>
      </c>
      <c r="B57" s="470" t="s">
        <v>1729</v>
      </c>
      <c r="C57" s="460" t="str">
        <f t="shared" si="42"/>
        <v>J_2021_1.2.4.2.5</v>
      </c>
      <c r="D57" s="460" t="s">
        <v>823</v>
      </c>
      <c r="E57" s="460">
        <v>2021</v>
      </c>
      <c r="F57" s="460">
        <v>2021</v>
      </c>
      <c r="G57" s="460" t="s">
        <v>621</v>
      </c>
      <c r="H57" s="461">
        <v>11.14</v>
      </c>
      <c r="I57" s="461">
        <f t="shared" si="43"/>
        <v>11.14</v>
      </c>
      <c r="J57" s="471">
        <v>43739</v>
      </c>
      <c r="K57" s="461">
        <v>14.49</v>
      </c>
      <c r="L57" s="461">
        <v>14.49</v>
      </c>
      <c r="M57" s="471">
        <v>44237</v>
      </c>
      <c r="N57" s="460" t="s">
        <v>621</v>
      </c>
      <c r="O57" s="460" t="s">
        <v>621</v>
      </c>
      <c r="P57" s="461">
        <f t="shared" si="44"/>
        <v>11.14</v>
      </c>
      <c r="Q57" s="461">
        <v>11.97</v>
      </c>
      <c r="R57" s="461">
        <v>11.14</v>
      </c>
      <c r="S57" s="461">
        <v>14.48</v>
      </c>
      <c r="T57" s="461">
        <f t="shared" si="56"/>
        <v>11.97</v>
      </c>
      <c r="U57" s="661">
        <v>14.48</v>
      </c>
      <c r="V57" s="460" t="s">
        <v>621</v>
      </c>
      <c r="W57" s="460" t="s">
        <v>621</v>
      </c>
      <c r="X57" s="460" t="s">
        <v>621</v>
      </c>
      <c r="Y57" s="460" t="s">
        <v>621</v>
      </c>
      <c r="Z57" s="460" t="s">
        <v>621</v>
      </c>
      <c r="AA57" s="460" t="s">
        <v>621</v>
      </c>
      <c r="AB57" s="460" t="s">
        <v>621</v>
      </c>
      <c r="AC57" s="460" t="s">
        <v>621</v>
      </c>
      <c r="AD57" s="460" t="s">
        <v>621</v>
      </c>
      <c r="AE57" s="460" t="s">
        <v>621</v>
      </c>
      <c r="AF57" s="460" t="s">
        <v>621</v>
      </c>
      <c r="AG57" s="460" t="s">
        <v>621</v>
      </c>
      <c r="AH57" s="460" t="s">
        <v>621</v>
      </c>
      <c r="AI57" s="460">
        <v>0</v>
      </c>
      <c r="AJ57" s="460" t="s">
        <v>621</v>
      </c>
      <c r="AK57" s="460" t="s">
        <v>621</v>
      </c>
      <c r="AL57" s="460">
        <v>0</v>
      </c>
      <c r="AM57" s="460">
        <v>0</v>
      </c>
      <c r="AN57" s="461">
        <f t="shared" si="47"/>
        <v>0</v>
      </c>
      <c r="AO57" s="460" t="s">
        <v>621</v>
      </c>
      <c r="AP57" s="460" t="s">
        <v>621</v>
      </c>
      <c r="AQ57" s="460">
        <f t="shared" si="48"/>
        <v>0</v>
      </c>
      <c r="AR57" s="460">
        <f t="shared" si="49"/>
        <v>0</v>
      </c>
      <c r="AS57" s="460">
        <f>Q57</f>
        <v>11.97</v>
      </c>
      <c r="AT57" s="460" t="s">
        <v>621</v>
      </c>
      <c r="AU57" s="460" t="s">
        <v>621</v>
      </c>
      <c r="AV57" s="460">
        <v>0</v>
      </c>
      <c r="AW57" s="460">
        <f>AS57</f>
        <v>11.97</v>
      </c>
      <c r="AX57" s="461">
        <f>U57</f>
        <v>14.48</v>
      </c>
      <c r="AY57" s="460" t="s">
        <v>621</v>
      </c>
      <c r="AZ57" s="460" t="s">
        <v>621</v>
      </c>
      <c r="BA57" s="460" t="s">
        <v>621</v>
      </c>
      <c r="BB57" s="461">
        <f>AX57</f>
        <v>14.48</v>
      </c>
      <c r="BC57" s="460">
        <v>0</v>
      </c>
      <c r="BD57" s="460" t="s">
        <v>621</v>
      </c>
      <c r="BE57" s="460" t="s">
        <v>621</v>
      </c>
      <c r="BF57" s="460">
        <v>0</v>
      </c>
      <c r="BG57" s="460">
        <v>0</v>
      </c>
      <c r="BH57" s="460" t="s">
        <v>621</v>
      </c>
      <c r="BI57" s="460" t="s">
        <v>621</v>
      </c>
      <c r="BJ57" s="460" t="s">
        <v>621</v>
      </c>
      <c r="BK57" s="460" t="s">
        <v>621</v>
      </c>
      <c r="BL57" s="460" t="s">
        <v>621</v>
      </c>
      <c r="BM57" s="460">
        <v>0</v>
      </c>
      <c r="BN57" s="460" t="s">
        <v>621</v>
      </c>
      <c r="BO57" s="460" t="s">
        <v>621</v>
      </c>
      <c r="BP57" s="460">
        <v>0</v>
      </c>
      <c r="BQ57" s="460">
        <v>0</v>
      </c>
      <c r="BR57" s="460" t="s">
        <v>621</v>
      </c>
      <c r="BS57" s="460" t="s">
        <v>621</v>
      </c>
      <c r="BT57" s="460" t="s">
        <v>621</v>
      </c>
      <c r="BU57" s="460" t="s">
        <v>621</v>
      </c>
      <c r="BV57" s="460" t="s">
        <v>621</v>
      </c>
      <c r="BW57" s="461">
        <v>0</v>
      </c>
      <c r="BX57" s="460" t="s">
        <v>621</v>
      </c>
      <c r="BY57" s="460" t="s">
        <v>621</v>
      </c>
      <c r="BZ57" s="461">
        <v>0</v>
      </c>
      <c r="CA57" s="461">
        <v>0</v>
      </c>
      <c r="CB57" s="460" t="s">
        <v>621</v>
      </c>
      <c r="CC57" s="460" t="s">
        <v>621</v>
      </c>
      <c r="CD57" s="460" t="s">
        <v>621</v>
      </c>
      <c r="CE57" s="460" t="s">
        <v>621</v>
      </c>
      <c r="CF57" s="460" t="s">
        <v>621</v>
      </c>
      <c r="CG57" s="461">
        <f t="shared" si="50"/>
        <v>11.97</v>
      </c>
      <c r="CH57" s="460" t="s">
        <v>621</v>
      </c>
      <c r="CI57" s="460" t="s">
        <v>621</v>
      </c>
      <c r="CJ57" s="461">
        <v>0</v>
      </c>
      <c r="CK57" s="461">
        <f t="shared" si="51"/>
        <v>11.97</v>
      </c>
      <c r="CL57" s="461">
        <f t="shared" si="52"/>
        <v>14.48</v>
      </c>
      <c r="CM57" s="460" t="s">
        <v>621</v>
      </c>
      <c r="CN57" s="460" t="s">
        <v>621</v>
      </c>
      <c r="CO57" s="461">
        <f t="shared" si="53"/>
        <v>0</v>
      </c>
      <c r="CP57" s="461">
        <f t="shared" si="54"/>
        <v>14.48</v>
      </c>
      <c r="CQ57" s="460"/>
      <c r="CS57" s="561"/>
      <c r="CT57" s="562"/>
    </row>
    <row r="58" spans="1:98" s="253" customFormat="1" ht="36.75" customHeight="1" x14ac:dyDescent="0.5">
      <c r="A58" s="462" t="s">
        <v>890</v>
      </c>
      <c r="B58" s="470" t="s">
        <v>871</v>
      </c>
      <c r="C58" s="460" t="str">
        <f t="shared" si="42"/>
        <v>J_2022_1.2.4.2.6</v>
      </c>
      <c r="D58" s="460" t="s">
        <v>823</v>
      </c>
      <c r="E58" s="460">
        <v>2022</v>
      </c>
      <c r="F58" s="460">
        <v>2022</v>
      </c>
      <c r="G58" s="460" t="s">
        <v>621</v>
      </c>
      <c r="H58" s="461">
        <v>7.8</v>
      </c>
      <c r="I58" s="461">
        <f t="shared" si="43"/>
        <v>7.8</v>
      </c>
      <c r="J58" s="471">
        <v>43709</v>
      </c>
      <c r="K58" s="461">
        <f t="shared" si="45"/>
        <v>7.8</v>
      </c>
      <c r="L58" s="461">
        <f t="shared" si="46"/>
        <v>7.8</v>
      </c>
      <c r="M58" s="471">
        <v>43709</v>
      </c>
      <c r="N58" s="460" t="s">
        <v>621</v>
      </c>
      <c r="O58" s="460" t="s">
        <v>621</v>
      </c>
      <c r="P58" s="461">
        <f t="shared" si="44"/>
        <v>7.8</v>
      </c>
      <c r="Q58" s="461">
        <v>8.69</v>
      </c>
      <c r="R58" s="461">
        <v>0</v>
      </c>
      <c r="S58" s="461">
        <v>0</v>
      </c>
      <c r="T58" s="461">
        <f t="shared" si="56"/>
        <v>8.69</v>
      </c>
      <c r="U58" s="661">
        <f>S58</f>
        <v>0</v>
      </c>
      <c r="V58" s="460" t="s">
        <v>621</v>
      </c>
      <c r="W58" s="460" t="s">
        <v>621</v>
      </c>
      <c r="X58" s="460" t="s">
        <v>621</v>
      </c>
      <c r="Y58" s="460" t="s">
        <v>621</v>
      </c>
      <c r="Z58" s="460" t="s">
        <v>621</v>
      </c>
      <c r="AA58" s="460" t="s">
        <v>621</v>
      </c>
      <c r="AB58" s="460" t="s">
        <v>621</v>
      </c>
      <c r="AC58" s="460" t="s">
        <v>621</v>
      </c>
      <c r="AD58" s="460" t="s">
        <v>621</v>
      </c>
      <c r="AE58" s="460" t="s">
        <v>621</v>
      </c>
      <c r="AF58" s="460" t="s">
        <v>621</v>
      </c>
      <c r="AG58" s="460" t="s">
        <v>621</v>
      </c>
      <c r="AH58" s="460" t="s">
        <v>621</v>
      </c>
      <c r="AI58" s="460">
        <v>0</v>
      </c>
      <c r="AJ58" s="460" t="s">
        <v>621</v>
      </c>
      <c r="AK58" s="460" t="s">
        <v>621</v>
      </c>
      <c r="AL58" s="460">
        <v>0</v>
      </c>
      <c r="AM58" s="460">
        <v>0</v>
      </c>
      <c r="AN58" s="461">
        <f t="shared" si="47"/>
        <v>0</v>
      </c>
      <c r="AO58" s="460" t="s">
        <v>621</v>
      </c>
      <c r="AP58" s="460" t="s">
        <v>621</v>
      </c>
      <c r="AQ58" s="460">
        <f t="shared" si="48"/>
        <v>0</v>
      </c>
      <c r="AR58" s="460">
        <f t="shared" si="49"/>
        <v>0</v>
      </c>
      <c r="AS58" s="460">
        <v>0</v>
      </c>
      <c r="AT58" s="460" t="s">
        <v>621</v>
      </c>
      <c r="AU58" s="460" t="s">
        <v>621</v>
      </c>
      <c r="AV58" s="460">
        <v>0</v>
      </c>
      <c r="AW58" s="460">
        <v>0</v>
      </c>
      <c r="AX58" s="460" t="s">
        <v>621</v>
      </c>
      <c r="AY58" s="460" t="s">
        <v>621</v>
      </c>
      <c r="AZ58" s="460" t="s">
        <v>621</v>
      </c>
      <c r="BA58" s="460" t="s">
        <v>621</v>
      </c>
      <c r="BB58" s="460" t="s">
        <v>621</v>
      </c>
      <c r="BC58" s="460">
        <f>Q58</f>
        <v>8.69</v>
      </c>
      <c r="BD58" s="460" t="s">
        <v>621</v>
      </c>
      <c r="BE58" s="460" t="s">
        <v>621</v>
      </c>
      <c r="BF58" s="460">
        <v>0</v>
      </c>
      <c r="BG58" s="460">
        <f>BC58</f>
        <v>8.69</v>
      </c>
      <c r="BH58" s="460">
        <f>BL58</f>
        <v>0</v>
      </c>
      <c r="BI58" s="460" t="s">
        <v>621</v>
      </c>
      <c r="BJ58" s="460" t="s">
        <v>621</v>
      </c>
      <c r="BK58" s="460" t="s">
        <v>621</v>
      </c>
      <c r="BL58" s="461">
        <f>U58</f>
        <v>0</v>
      </c>
      <c r="BM58" s="460">
        <v>0</v>
      </c>
      <c r="BN58" s="460" t="s">
        <v>621</v>
      </c>
      <c r="BO58" s="460" t="s">
        <v>621</v>
      </c>
      <c r="BP58" s="460">
        <v>0</v>
      </c>
      <c r="BQ58" s="460">
        <v>0</v>
      </c>
      <c r="BR58" s="460" t="s">
        <v>621</v>
      </c>
      <c r="BS58" s="460" t="s">
        <v>621</v>
      </c>
      <c r="BT58" s="460" t="s">
        <v>621</v>
      </c>
      <c r="BU58" s="460" t="s">
        <v>621</v>
      </c>
      <c r="BV58" s="460" t="s">
        <v>621</v>
      </c>
      <c r="BW58" s="461">
        <v>0</v>
      </c>
      <c r="BX58" s="460" t="s">
        <v>621</v>
      </c>
      <c r="BY58" s="460" t="s">
        <v>621</v>
      </c>
      <c r="BZ58" s="461">
        <v>0</v>
      </c>
      <c r="CA58" s="461">
        <v>0</v>
      </c>
      <c r="CB58" s="460" t="s">
        <v>621</v>
      </c>
      <c r="CC58" s="460" t="s">
        <v>621</v>
      </c>
      <c r="CD58" s="460" t="s">
        <v>621</v>
      </c>
      <c r="CE58" s="460" t="s">
        <v>621</v>
      </c>
      <c r="CF58" s="460" t="s">
        <v>621</v>
      </c>
      <c r="CG58" s="461">
        <f t="shared" si="50"/>
        <v>8.69</v>
      </c>
      <c r="CH58" s="460" t="s">
        <v>621</v>
      </c>
      <c r="CI58" s="460" t="s">
        <v>621</v>
      </c>
      <c r="CJ58" s="461">
        <v>0</v>
      </c>
      <c r="CK58" s="461">
        <f t="shared" si="51"/>
        <v>8.69</v>
      </c>
      <c r="CL58" s="461">
        <f t="shared" si="52"/>
        <v>0</v>
      </c>
      <c r="CM58" s="460" t="s">
        <v>621</v>
      </c>
      <c r="CN58" s="460" t="s">
        <v>621</v>
      </c>
      <c r="CO58" s="461">
        <f t="shared" si="53"/>
        <v>0</v>
      </c>
      <c r="CP58" s="461">
        <f t="shared" si="54"/>
        <v>0</v>
      </c>
      <c r="CQ58" s="460"/>
      <c r="CS58" s="561"/>
      <c r="CT58" s="562"/>
    </row>
    <row r="59" spans="1:98" s="253" customFormat="1" ht="53.25" customHeight="1" x14ac:dyDescent="0.5">
      <c r="A59" s="462" t="s">
        <v>891</v>
      </c>
      <c r="B59" s="470" t="s">
        <v>872</v>
      </c>
      <c r="C59" s="460" t="str">
        <f t="shared" si="42"/>
        <v>J_2022_1.2.4.2.7</v>
      </c>
      <c r="D59" s="460" t="s">
        <v>823</v>
      </c>
      <c r="E59" s="460">
        <v>2022</v>
      </c>
      <c r="F59" s="460">
        <v>2022</v>
      </c>
      <c r="G59" s="460" t="s">
        <v>621</v>
      </c>
      <c r="H59" s="461">
        <v>9.5</v>
      </c>
      <c r="I59" s="461">
        <f t="shared" si="43"/>
        <v>9.5</v>
      </c>
      <c r="J59" s="471">
        <v>43709</v>
      </c>
      <c r="K59" s="461">
        <f t="shared" si="45"/>
        <v>9.5</v>
      </c>
      <c r="L59" s="461">
        <f t="shared" si="46"/>
        <v>9.5</v>
      </c>
      <c r="M59" s="471">
        <v>43709</v>
      </c>
      <c r="N59" s="460" t="s">
        <v>621</v>
      </c>
      <c r="O59" s="460" t="s">
        <v>621</v>
      </c>
      <c r="P59" s="461">
        <f t="shared" si="44"/>
        <v>9.5</v>
      </c>
      <c r="Q59" s="461">
        <v>10.58</v>
      </c>
      <c r="R59" s="461">
        <v>0</v>
      </c>
      <c r="S59" s="461">
        <v>0</v>
      </c>
      <c r="T59" s="461">
        <f t="shared" si="56"/>
        <v>10.58</v>
      </c>
      <c r="U59" s="661">
        <v>0</v>
      </c>
      <c r="V59" s="460" t="s">
        <v>621</v>
      </c>
      <c r="W59" s="460" t="s">
        <v>621</v>
      </c>
      <c r="X59" s="460" t="s">
        <v>621</v>
      </c>
      <c r="Y59" s="460" t="s">
        <v>621</v>
      </c>
      <c r="Z59" s="460" t="s">
        <v>621</v>
      </c>
      <c r="AA59" s="460" t="s">
        <v>621</v>
      </c>
      <c r="AB59" s="460" t="s">
        <v>621</v>
      </c>
      <c r="AC59" s="460" t="s">
        <v>621</v>
      </c>
      <c r="AD59" s="460" t="s">
        <v>621</v>
      </c>
      <c r="AE59" s="460" t="s">
        <v>621</v>
      </c>
      <c r="AF59" s="460" t="s">
        <v>621</v>
      </c>
      <c r="AG59" s="460" t="s">
        <v>621</v>
      </c>
      <c r="AH59" s="460" t="s">
        <v>621</v>
      </c>
      <c r="AI59" s="460">
        <v>0</v>
      </c>
      <c r="AJ59" s="460" t="s">
        <v>621</v>
      </c>
      <c r="AK59" s="460" t="s">
        <v>621</v>
      </c>
      <c r="AL59" s="460">
        <v>0</v>
      </c>
      <c r="AM59" s="460">
        <v>0</v>
      </c>
      <c r="AN59" s="461">
        <f t="shared" si="47"/>
        <v>0</v>
      </c>
      <c r="AO59" s="460" t="s">
        <v>621</v>
      </c>
      <c r="AP59" s="460" t="s">
        <v>621</v>
      </c>
      <c r="AQ59" s="460">
        <f t="shared" si="48"/>
        <v>0</v>
      </c>
      <c r="AR59" s="460">
        <f t="shared" si="49"/>
        <v>0</v>
      </c>
      <c r="AS59" s="460">
        <v>0</v>
      </c>
      <c r="AT59" s="460" t="s">
        <v>621</v>
      </c>
      <c r="AU59" s="460" t="s">
        <v>621</v>
      </c>
      <c r="AV59" s="460">
        <v>0</v>
      </c>
      <c r="AW59" s="460">
        <v>0</v>
      </c>
      <c r="AX59" s="460" t="s">
        <v>621</v>
      </c>
      <c r="AY59" s="460" t="s">
        <v>621</v>
      </c>
      <c r="AZ59" s="460" t="s">
        <v>621</v>
      </c>
      <c r="BA59" s="460" t="s">
        <v>621</v>
      </c>
      <c r="BB59" s="460" t="s">
        <v>621</v>
      </c>
      <c r="BC59" s="460">
        <f>Q59</f>
        <v>10.58</v>
      </c>
      <c r="BD59" s="460" t="s">
        <v>621</v>
      </c>
      <c r="BE59" s="460" t="s">
        <v>621</v>
      </c>
      <c r="BF59" s="460">
        <v>0</v>
      </c>
      <c r="BG59" s="460">
        <f>BC59</f>
        <v>10.58</v>
      </c>
      <c r="BH59" s="460">
        <f>BL59</f>
        <v>0</v>
      </c>
      <c r="BI59" s="460" t="s">
        <v>621</v>
      </c>
      <c r="BJ59" s="460" t="s">
        <v>621</v>
      </c>
      <c r="BK59" s="460" t="s">
        <v>621</v>
      </c>
      <c r="BL59" s="461">
        <f>U59</f>
        <v>0</v>
      </c>
      <c r="BM59" s="460">
        <v>0</v>
      </c>
      <c r="BN59" s="460" t="s">
        <v>621</v>
      </c>
      <c r="BO59" s="460" t="s">
        <v>621</v>
      </c>
      <c r="BP59" s="460">
        <v>0</v>
      </c>
      <c r="BQ59" s="460">
        <v>0</v>
      </c>
      <c r="BR59" s="460" t="s">
        <v>621</v>
      </c>
      <c r="BS59" s="460" t="s">
        <v>621</v>
      </c>
      <c r="BT59" s="460" t="s">
        <v>621</v>
      </c>
      <c r="BU59" s="460" t="s">
        <v>621</v>
      </c>
      <c r="BV59" s="460" t="s">
        <v>621</v>
      </c>
      <c r="BW59" s="461">
        <v>0</v>
      </c>
      <c r="BX59" s="460" t="s">
        <v>621</v>
      </c>
      <c r="BY59" s="460" t="s">
        <v>621</v>
      </c>
      <c r="BZ59" s="461">
        <v>0</v>
      </c>
      <c r="CA59" s="461">
        <v>0</v>
      </c>
      <c r="CB59" s="460" t="s">
        <v>621</v>
      </c>
      <c r="CC59" s="460" t="s">
        <v>621</v>
      </c>
      <c r="CD59" s="460" t="s">
        <v>621</v>
      </c>
      <c r="CE59" s="460" t="s">
        <v>621</v>
      </c>
      <c r="CF59" s="460" t="s">
        <v>621</v>
      </c>
      <c r="CG59" s="461">
        <f t="shared" si="50"/>
        <v>10.58</v>
      </c>
      <c r="CH59" s="460" t="s">
        <v>621</v>
      </c>
      <c r="CI59" s="460" t="s">
        <v>621</v>
      </c>
      <c r="CJ59" s="461">
        <v>0</v>
      </c>
      <c r="CK59" s="461">
        <f t="shared" si="51"/>
        <v>10.58</v>
      </c>
      <c r="CL59" s="461">
        <f t="shared" si="52"/>
        <v>0</v>
      </c>
      <c r="CM59" s="460" t="s">
        <v>621</v>
      </c>
      <c r="CN59" s="460" t="s">
        <v>621</v>
      </c>
      <c r="CO59" s="461">
        <f t="shared" si="53"/>
        <v>0</v>
      </c>
      <c r="CP59" s="461">
        <f t="shared" si="54"/>
        <v>0</v>
      </c>
      <c r="CQ59" s="460"/>
      <c r="CS59" s="561"/>
      <c r="CT59" s="562"/>
    </row>
    <row r="60" spans="1:98" s="253" customFormat="1" ht="69.75" customHeight="1" x14ac:dyDescent="0.5">
      <c r="A60" s="462" t="s">
        <v>892</v>
      </c>
      <c r="B60" s="470" t="s">
        <v>1719</v>
      </c>
      <c r="C60" s="460" t="str">
        <f t="shared" si="42"/>
        <v>J_2022_1.2.4.2.8</v>
      </c>
      <c r="D60" s="460" t="s">
        <v>823</v>
      </c>
      <c r="E60" s="460">
        <v>2022</v>
      </c>
      <c r="F60" s="460">
        <v>2022</v>
      </c>
      <c r="G60" s="460" t="s">
        <v>621</v>
      </c>
      <c r="H60" s="461">
        <v>31.4</v>
      </c>
      <c r="I60" s="461">
        <f t="shared" si="43"/>
        <v>31.4</v>
      </c>
      <c r="J60" s="471">
        <v>43709</v>
      </c>
      <c r="K60" s="461">
        <v>22.7</v>
      </c>
      <c r="L60" s="461">
        <v>23.9</v>
      </c>
      <c r="M60" s="471">
        <v>44287</v>
      </c>
      <c r="N60" s="460" t="s">
        <v>621</v>
      </c>
      <c r="O60" s="460" t="s">
        <v>621</v>
      </c>
      <c r="P60" s="461">
        <f t="shared" si="44"/>
        <v>31.4</v>
      </c>
      <c r="Q60" s="461">
        <v>34.979999999999997</v>
      </c>
      <c r="R60" s="461">
        <f>K60</f>
        <v>22.7</v>
      </c>
      <c r="S60" s="461">
        <v>29.2</v>
      </c>
      <c r="T60" s="461">
        <f t="shared" si="56"/>
        <v>34.979999999999997</v>
      </c>
      <c r="U60" s="661">
        <v>29.2</v>
      </c>
      <c r="V60" s="460" t="s">
        <v>621</v>
      </c>
      <c r="W60" s="460" t="s">
        <v>621</v>
      </c>
      <c r="X60" s="460" t="s">
        <v>621</v>
      </c>
      <c r="Y60" s="460" t="s">
        <v>621</v>
      </c>
      <c r="Z60" s="460" t="s">
        <v>621</v>
      </c>
      <c r="AA60" s="460" t="s">
        <v>621</v>
      </c>
      <c r="AB60" s="460" t="s">
        <v>621</v>
      </c>
      <c r="AC60" s="460" t="s">
        <v>621</v>
      </c>
      <c r="AD60" s="460" t="s">
        <v>621</v>
      </c>
      <c r="AE60" s="460" t="s">
        <v>621</v>
      </c>
      <c r="AF60" s="460" t="s">
        <v>621</v>
      </c>
      <c r="AG60" s="460" t="s">
        <v>621</v>
      </c>
      <c r="AH60" s="460" t="s">
        <v>621</v>
      </c>
      <c r="AI60" s="460">
        <v>0</v>
      </c>
      <c r="AJ60" s="460" t="s">
        <v>621</v>
      </c>
      <c r="AK60" s="460" t="s">
        <v>621</v>
      </c>
      <c r="AL60" s="460">
        <v>0</v>
      </c>
      <c r="AM60" s="460">
        <v>0</v>
      </c>
      <c r="AN60" s="461">
        <f t="shared" si="47"/>
        <v>0</v>
      </c>
      <c r="AO60" s="460" t="s">
        <v>621</v>
      </c>
      <c r="AP60" s="460" t="s">
        <v>621</v>
      </c>
      <c r="AQ60" s="460">
        <f t="shared" si="48"/>
        <v>0</v>
      </c>
      <c r="AR60" s="460">
        <f t="shared" si="49"/>
        <v>0</v>
      </c>
      <c r="AS60" s="460">
        <v>0</v>
      </c>
      <c r="AT60" s="460" t="s">
        <v>621</v>
      </c>
      <c r="AU60" s="460" t="s">
        <v>621</v>
      </c>
      <c r="AV60" s="460">
        <v>0</v>
      </c>
      <c r="AW60" s="460">
        <v>0</v>
      </c>
      <c r="AX60" s="460" t="s">
        <v>621</v>
      </c>
      <c r="AY60" s="460" t="s">
        <v>621</v>
      </c>
      <c r="AZ60" s="460" t="s">
        <v>621</v>
      </c>
      <c r="BA60" s="460" t="s">
        <v>621</v>
      </c>
      <c r="BB60" s="460" t="s">
        <v>621</v>
      </c>
      <c r="BC60" s="460">
        <f>Q60</f>
        <v>34.979999999999997</v>
      </c>
      <c r="BD60" s="460" t="s">
        <v>621</v>
      </c>
      <c r="BE60" s="460" t="s">
        <v>621</v>
      </c>
      <c r="BF60" s="460">
        <v>0</v>
      </c>
      <c r="BG60" s="460">
        <f>BC60</f>
        <v>34.979999999999997</v>
      </c>
      <c r="BH60" s="460">
        <f>BL60</f>
        <v>29.2</v>
      </c>
      <c r="BI60" s="460" t="s">
        <v>621</v>
      </c>
      <c r="BJ60" s="460" t="s">
        <v>621</v>
      </c>
      <c r="BK60" s="460" t="s">
        <v>621</v>
      </c>
      <c r="BL60" s="461">
        <f>U60</f>
        <v>29.2</v>
      </c>
      <c r="BM60" s="460">
        <v>0</v>
      </c>
      <c r="BN60" s="460" t="s">
        <v>621</v>
      </c>
      <c r="BO60" s="460" t="s">
        <v>621</v>
      </c>
      <c r="BP60" s="460">
        <v>0</v>
      </c>
      <c r="BQ60" s="460">
        <v>0</v>
      </c>
      <c r="BR60" s="460" t="s">
        <v>621</v>
      </c>
      <c r="BS60" s="460" t="s">
        <v>621</v>
      </c>
      <c r="BT60" s="460" t="s">
        <v>621</v>
      </c>
      <c r="BU60" s="460" t="s">
        <v>621</v>
      </c>
      <c r="BV60" s="460" t="s">
        <v>621</v>
      </c>
      <c r="BW60" s="461">
        <v>0</v>
      </c>
      <c r="BX60" s="460" t="s">
        <v>621</v>
      </c>
      <c r="BY60" s="460" t="s">
        <v>621</v>
      </c>
      <c r="BZ60" s="461">
        <v>0</v>
      </c>
      <c r="CA60" s="461">
        <v>0</v>
      </c>
      <c r="CB60" s="460" t="s">
        <v>621</v>
      </c>
      <c r="CC60" s="460" t="s">
        <v>621</v>
      </c>
      <c r="CD60" s="460" t="s">
        <v>621</v>
      </c>
      <c r="CE60" s="460" t="s">
        <v>621</v>
      </c>
      <c r="CF60" s="460" t="s">
        <v>621</v>
      </c>
      <c r="CG60" s="461">
        <f t="shared" si="50"/>
        <v>34.979999999999997</v>
      </c>
      <c r="CH60" s="460" t="s">
        <v>621</v>
      </c>
      <c r="CI60" s="460" t="s">
        <v>621</v>
      </c>
      <c r="CJ60" s="461">
        <v>0</v>
      </c>
      <c r="CK60" s="461">
        <f t="shared" si="51"/>
        <v>34.979999999999997</v>
      </c>
      <c r="CL60" s="461">
        <f t="shared" si="52"/>
        <v>29.2</v>
      </c>
      <c r="CM60" s="460" t="s">
        <v>621</v>
      </c>
      <c r="CN60" s="460" t="s">
        <v>621</v>
      </c>
      <c r="CO60" s="461">
        <f t="shared" si="53"/>
        <v>0</v>
      </c>
      <c r="CP60" s="461">
        <f t="shared" si="54"/>
        <v>29.2</v>
      </c>
      <c r="CQ60" s="460"/>
      <c r="CS60" s="561"/>
      <c r="CT60" s="562"/>
    </row>
    <row r="61" spans="1:98" s="253" customFormat="1" ht="53.25" customHeight="1" x14ac:dyDescent="0.5">
      <c r="A61" s="462" t="s">
        <v>893</v>
      </c>
      <c r="B61" s="470" t="s">
        <v>877</v>
      </c>
      <c r="C61" s="460" t="str">
        <f t="shared" si="42"/>
        <v>J_2023_1.2.4.2.9</v>
      </c>
      <c r="D61" s="460" t="s">
        <v>823</v>
      </c>
      <c r="E61" s="460">
        <v>2023</v>
      </c>
      <c r="F61" s="460">
        <v>2023</v>
      </c>
      <c r="G61" s="460" t="s">
        <v>621</v>
      </c>
      <c r="H61" s="461">
        <v>1.31</v>
      </c>
      <c r="I61" s="461">
        <f t="shared" si="43"/>
        <v>1.31</v>
      </c>
      <c r="J61" s="471">
        <v>43709</v>
      </c>
      <c r="K61" s="461">
        <f t="shared" si="45"/>
        <v>1.31</v>
      </c>
      <c r="L61" s="461">
        <f t="shared" si="46"/>
        <v>1.31</v>
      </c>
      <c r="M61" s="471">
        <v>43709</v>
      </c>
      <c r="N61" s="460" t="s">
        <v>621</v>
      </c>
      <c r="O61" s="460" t="s">
        <v>621</v>
      </c>
      <c r="P61" s="461">
        <f t="shared" si="44"/>
        <v>1.31</v>
      </c>
      <c r="Q61" s="461">
        <v>1.51</v>
      </c>
      <c r="R61" s="461">
        <f t="shared" si="55"/>
        <v>1.31</v>
      </c>
      <c r="S61" s="461">
        <f>U61</f>
        <v>1.62</v>
      </c>
      <c r="T61" s="461">
        <f>Q61</f>
        <v>1.51</v>
      </c>
      <c r="U61" s="661">
        <v>1.62</v>
      </c>
      <c r="V61" s="460" t="s">
        <v>621</v>
      </c>
      <c r="W61" s="460" t="s">
        <v>621</v>
      </c>
      <c r="X61" s="460" t="s">
        <v>621</v>
      </c>
      <c r="Y61" s="460" t="s">
        <v>621</v>
      </c>
      <c r="Z61" s="460" t="s">
        <v>621</v>
      </c>
      <c r="AA61" s="460" t="s">
        <v>621</v>
      </c>
      <c r="AB61" s="460" t="s">
        <v>621</v>
      </c>
      <c r="AC61" s="460" t="s">
        <v>621</v>
      </c>
      <c r="AD61" s="460" t="s">
        <v>621</v>
      </c>
      <c r="AE61" s="460" t="s">
        <v>621</v>
      </c>
      <c r="AF61" s="460" t="s">
        <v>621</v>
      </c>
      <c r="AG61" s="460" t="s">
        <v>621</v>
      </c>
      <c r="AH61" s="460" t="s">
        <v>621</v>
      </c>
      <c r="AI61" s="460">
        <v>0</v>
      </c>
      <c r="AJ61" s="460" t="s">
        <v>621</v>
      </c>
      <c r="AK61" s="460" t="s">
        <v>621</v>
      </c>
      <c r="AL61" s="460">
        <v>0</v>
      </c>
      <c r="AM61" s="460">
        <v>0</v>
      </c>
      <c r="AN61" s="461">
        <f t="shared" si="47"/>
        <v>0</v>
      </c>
      <c r="AO61" s="460" t="s">
        <v>621</v>
      </c>
      <c r="AP61" s="460" t="s">
        <v>621</v>
      </c>
      <c r="AQ61" s="460">
        <f t="shared" si="48"/>
        <v>0</v>
      </c>
      <c r="AR61" s="460">
        <f t="shared" si="49"/>
        <v>0</v>
      </c>
      <c r="AS61" s="460">
        <v>0</v>
      </c>
      <c r="AT61" s="460" t="s">
        <v>621</v>
      </c>
      <c r="AU61" s="460" t="s">
        <v>621</v>
      </c>
      <c r="AV61" s="460">
        <v>0</v>
      </c>
      <c r="AW61" s="460">
        <v>0</v>
      </c>
      <c r="AX61" s="460" t="s">
        <v>621</v>
      </c>
      <c r="AY61" s="460" t="s">
        <v>621</v>
      </c>
      <c r="AZ61" s="460" t="s">
        <v>621</v>
      </c>
      <c r="BA61" s="460" t="s">
        <v>621</v>
      </c>
      <c r="BB61" s="460" t="s">
        <v>621</v>
      </c>
      <c r="BC61" s="460">
        <v>0</v>
      </c>
      <c r="BD61" s="460" t="s">
        <v>621</v>
      </c>
      <c r="BE61" s="460" t="s">
        <v>621</v>
      </c>
      <c r="BF61" s="460">
        <v>0</v>
      </c>
      <c r="BG61" s="460">
        <v>0</v>
      </c>
      <c r="BH61" s="460" t="s">
        <v>621</v>
      </c>
      <c r="BI61" s="460" t="s">
        <v>621</v>
      </c>
      <c r="BJ61" s="460" t="s">
        <v>621</v>
      </c>
      <c r="BK61" s="460" t="s">
        <v>621</v>
      </c>
      <c r="BL61" s="460" t="s">
        <v>621</v>
      </c>
      <c r="BM61" s="460">
        <f t="shared" ref="BM61:BM67" si="57">Q61</f>
        <v>1.51</v>
      </c>
      <c r="BN61" s="460" t="s">
        <v>621</v>
      </c>
      <c r="BO61" s="460" t="s">
        <v>621</v>
      </c>
      <c r="BP61" s="460">
        <v>0</v>
      </c>
      <c r="BQ61" s="460">
        <f>BM61</f>
        <v>1.51</v>
      </c>
      <c r="BR61" s="460">
        <f>BV61</f>
        <v>1.62</v>
      </c>
      <c r="BS61" s="460" t="s">
        <v>621</v>
      </c>
      <c r="BT61" s="460" t="s">
        <v>621</v>
      </c>
      <c r="BU61" s="460" t="s">
        <v>621</v>
      </c>
      <c r="BV61" s="461">
        <f>S61</f>
        <v>1.62</v>
      </c>
      <c r="BW61" s="461">
        <v>0</v>
      </c>
      <c r="BX61" s="460" t="s">
        <v>621</v>
      </c>
      <c r="BY61" s="460" t="s">
        <v>621</v>
      </c>
      <c r="BZ61" s="461">
        <v>0</v>
      </c>
      <c r="CA61" s="461">
        <v>0</v>
      </c>
      <c r="CB61" s="460" t="s">
        <v>621</v>
      </c>
      <c r="CC61" s="460" t="s">
        <v>621</v>
      </c>
      <c r="CD61" s="460" t="s">
        <v>621</v>
      </c>
      <c r="CE61" s="460" t="s">
        <v>621</v>
      </c>
      <c r="CF61" s="460" t="s">
        <v>621</v>
      </c>
      <c r="CG61" s="461">
        <f t="shared" si="50"/>
        <v>1.51</v>
      </c>
      <c r="CH61" s="460" t="s">
        <v>621</v>
      </c>
      <c r="CI61" s="460" t="s">
        <v>621</v>
      </c>
      <c r="CJ61" s="461">
        <v>0</v>
      </c>
      <c r="CK61" s="461">
        <f t="shared" si="51"/>
        <v>1.51</v>
      </c>
      <c r="CL61" s="461">
        <f t="shared" si="52"/>
        <v>1.62</v>
      </c>
      <c r="CM61" s="460" t="s">
        <v>621</v>
      </c>
      <c r="CN61" s="460" t="s">
        <v>621</v>
      </c>
      <c r="CO61" s="461">
        <f t="shared" si="53"/>
        <v>0</v>
      </c>
      <c r="CP61" s="461">
        <f t="shared" si="54"/>
        <v>1.62</v>
      </c>
      <c r="CQ61" s="460"/>
      <c r="CS61" s="561"/>
      <c r="CT61" s="562"/>
    </row>
    <row r="62" spans="1:98" s="253" customFormat="1" ht="39" customHeight="1" x14ac:dyDescent="0.5">
      <c r="A62" s="462" t="s">
        <v>894</v>
      </c>
      <c r="B62" s="470" t="s">
        <v>878</v>
      </c>
      <c r="C62" s="460" t="str">
        <f t="shared" si="42"/>
        <v>J_2023_1.2.4.2.10</v>
      </c>
      <c r="D62" s="460" t="s">
        <v>823</v>
      </c>
      <c r="E62" s="460">
        <v>2023</v>
      </c>
      <c r="F62" s="460">
        <v>2023</v>
      </c>
      <c r="G62" s="460" t="s">
        <v>621</v>
      </c>
      <c r="H62" s="461">
        <v>1.2</v>
      </c>
      <c r="I62" s="461">
        <f t="shared" si="43"/>
        <v>1.2</v>
      </c>
      <c r="J62" s="471">
        <v>43709</v>
      </c>
      <c r="K62" s="461">
        <f t="shared" si="45"/>
        <v>1.2</v>
      </c>
      <c r="L62" s="461">
        <f t="shared" si="46"/>
        <v>1.2</v>
      </c>
      <c r="M62" s="471">
        <v>43709</v>
      </c>
      <c r="N62" s="460" t="s">
        <v>621</v>
      </c>
      <c r="O62" s="460" t="s">
        <v>621</v>
      </c>
      <c r="P62" s="461">
        <f t="shared" si="44"/>
        <v>1.2</v>
      </c>
      <c r="Q62" s="461">
        <v>1.39</v>
      </c>
      <c r="R62" s="461">
        <f t="shared" si="55"/>
        <v>1.2</v>
      </c>
      <c r="S62" s="461">
        <f t="shared" ref="S62:S73" si="58">U62</f>
        <v>1.48</v>
      </c>
      <c r="T62" s="461">
        <f t="shared" ref="T62:T67" si="59">Q62</f>
        <v>1.39</v>
      </c>
      <c r="U62" s="661">
        <v>1.48</v>
      </c>
      <c r="V62" s="460" t="s">
        <v>621</v>
      </c>
      <c r="W62" s="460" t="s">
        <v>621</v>
      </c>
      <c r="X62" s="460" t="s">
        <v>621</v>
      </c>
      <c r="Y62" s="460" t="s">
        <v>621</v>
      </c>
      <c r="Z62" s="460" t="s">
        <v>621</v>
      </c>
      <c r="AA62" s="460" t="s">
        <v>621</v>
      </c>
      <c r="AB62" s="460" t="s">
        <v>621</v>
      </c>
      <c r="AC62" s="460" t="s">
        <v>621</v>
      </c>
      <c r="AD62" s="460" t="s">
        <v>621</v>
      </c>
      <c r="AE62" s="460" t="s">
        <v>621</v>
      </c>
      <c r="AF62" s="460" t="s">
        <v>621</v>
      </c>
      <c r="AG62" s="460" t="s">
        <v>621</v>
      </c>
      <c r="AH62" s="460" t="s">
        <v>621</v>
      </c>
      <c r="AI62" s="460">
        <v>0</v>
      </c>
      <c r="AJ62" s="460" t="s">
        <v>621</v>
      </c>
      <c r="AK62" s="460" t="s">
        <v>621</v>
      </c>
      <c r="AL62" s="460">
        <v>0</v>
      </c>
      <c r="AM62" s="460">
        <v>0</v>
      </c>
      <c r="AN62" s="461">
        <f t="shared" si="47"/>
        <v>0</v>
      </c>
      <c r="AO62" s="460" t="s">
        <v>621</v>
      </c>
      <c r="AP62" s="460" t="s">
        <v>621</v>
      </c>
      <c r="AQ62" s="460">
        <f t="shared" si="48"/>
        <v>0</v>
      </c>
      <c r="AR62" s="460">
        <f t="shared" si="49"/>
        <v>0</v>
      </c>
      <c r="AS62" s="460">
        <v>0</v>
      </c>
      <c r="AT62" s="460" t="s">
        <v>621</v>
      </c>
      <c r="AU62" s="460" t="s">
        <v>621</v>
      </c>
      <c r="AV62" s="460">
        <v>0</v>
      </c>
      <c r="AW62" s="460">
        <v>0</v>
      </c>
      <c r="AX62" s="460" t="s">
        <v>621</v>
      </c>
      <c r="AY62" s="460" t="s">
        <v>621</v>
      </c>
      <c r="AZ62" s="460" t="s">
        <v>621</v>
      </c>
      <c r="BA62" s="460" t="s">
        <v>621</v>
      </c>
      <c r="BB62" s="460" t="s">
        <v>621</v>
      </c>
      <c r="BC62" s="460">
        <v>0</v>
      </c>
      <c r="BD62" s="460" t="s">
        <v>621</v>
      </c>
      <c r="BE62" s="460" t="s">
        <v>621</v>
      </c>
      <c r="BF62" s="460">
        <v>0</v>
      </c>
      <c r="BG62" s="460">
        <v>0</v>
      </c>
      <c r="BH62" s="460" t="s">
        <v>621</v>
      </c>
      <c r="BI62" s="460" t="s">
        <v>621</v>
      </c>
      <c r="BJ62" s="460" t="s">
        <v>621</v>
      </c>
      <c r="BK62" s="460" t="s">
        <v>621</v>
      </c>
      <c r="BL62" s="460" t="s">
        <v>621</v>
      </c>
      <c r="BM62" s="460">
        <f t="shared" si="57"/>
        <v>1.39</v>
      </c>
      <c r="BN62" s="460" t="s">
        <v>621</v>
      </c>
      <c r="BO62" s="460" t="s">
        <v>621</v>
      </c>
      <c r="BP62" s="460">
        <v>0</v>
      </c>
      <c r="BQ62" s="460">
        <f t="shared" ref="BQ62:BQ67" si="60">BM62</f>
        <v>1.39</v>
      </c>
      <c r="BR62" s="460">
        <f t="shared" ref="BR62:BR67" si="61">BV62</f>
        <v>1.48</v>
      </c>
      <c r="BS62" s="460" t="s">
        <v>621</v>
      </c>
      <c r="BT62" s="460" t="s">
        <v>621</v>
      </c>
      <c r="BU62" s="460" t="s">
        <v>621</v>
      </c>
      <c r="BV62" s="461">
        <f t="shared" ref="BV62:BV67" si="62">S62</f>
        <v>1.48</v>
      </c>
      <c r="BW62" s="461">
        <v>0</v>
      </c>
      <c r="BX62" s="460" t="s">
        <v>621</v>
      </c>
      <c r="BY62" s="460" t="s">
        <v>621</v>
      </c>
      <c r="BZ62" s="461">
        <v>0</v>
      </c>
      <c r="CA62" s="461">
        <v>0</v>
      </c>
      <c r="CB62" s="460" t="s">
        <v>621</v>
      </c>
      <c r="CC62" s="460" t="s">
        <v>621</v>
      </c>
      <c r="CD62" s="460" t="s">
        <v>621</v>
      </c>
      <c r="CE62" s="460" t="s">
        <v>621</v>
      </c>
      <c r="CF62" s="460" t="s">
        <v>621</v>
      </c>
      <c r="CG62" s="461">
        <f t="shared" si="50"/>
        <v>1.39</v>
      </c>
      <c r="CH62" s="460" t="s">
        <v>621</v>
      </c>
      <c r="CI62" s="460" t="s">
        <v>621</v>
      </c>
      <c r="CJ62" s="461">
        <v>0</v>
      </c>
      <c r="CK62" s="461">
        <f t="shared" si="51"/>
        <v>1.39</v>
      </c>
      <c r="CL62" s="461">
        <f t="shared" si="52"/>
        <v>1.48</v>
      </c>
      <c r="CM62" s="460" t="s">
        <v>621</v>
      </c>
      <c r="CN62" s="460" t="s">
        <v>621</v>
      </c>
      <c r="CO62" s="461">
        <f t="shared" si="53"/>
        <v>0</v>
      </c>
      <c r="CP62" s="461">
        <f t="shared" si="54"/>
        <v>1.48</v>
      </c>
      <c r="CQ62" s="460"/>
      <c r="CS62" s="561"/>
      <c r="CT62" s="562"/>
    </row>
    <row r="63" spans="1:98" s="253" customFormat="1" ht="45.75" customHeight="1" x14ac:dyDescent="0.5">
      <c r="A63" s="462" t="s">
        <v>895</v>
      </c>
      <c r="B63" s="470" t="s">
        <v>879</v>
      </c>
      <c r="C63" s="460" t="str">
        <f t="shared" si="42"/>
        <v>J_2023_1.2.4.2.11</v>
      </c>
      <c r="D63" s="460" t="s">
        <v>823</v>
      </c>
      <c r="E63" s="460">
        <v>2023</v>
      </c>
      <c r="F63" s="460">
        <v>2023</v>
      </c>
      <c r="G63" s="460" t="s">
        <v>621</v>
      </c>
      <c r="H63" s="461">
        <v>0.77</v>
      </c>
      <c r="I63" s="461">
        <f t="shared" si="43"/>
        <v>0.77</v>
      </c>
      <c r="J63" s="471">
        <v>43709</v>
      </c>
      <c r="K63" s="461">
        <f t="shared" si="45"/>
        <v>0.77</v>
      </c>
      <c r="L63" s="461">
        <f t="shared" si="46"/>
        <v>0.77</v>
      </c>
      <c r="M63" s="471">
        <v>43709</v>
      </c>
      <c r="N63" s="460" t="s">
        <v>621</v>
      </c>
      <c r="O63" s="460" t="s">
        <v>621</v>
      </c>
      <c r="P63" s="461">
        <f t="shared" si="44"/>
        <v>0.77</v>
      </c>
      <c r="Q63" s="461">
        <v>0.89</v>
      </c>
      <c r="R63" s="461">
        <f t="shared" si="55"/>
        <v>0.77</v>
      </c>
      <c r="S63" s="461">
        <f t="shared" si="58"/>
        <v>0.95</v>
      </c>
      <c r="T63" s="461">
        <f t="shared" si="59"/>
        <v>0.89</v>
      </c>
      <c r="U63" s="661">
        <v>0.95</v>
      </c>
      <c r="V63" s="460" t="s">
        <v>621</v>
      </c>
      <c r="W63" s="460" t="s">
        <v>621</v>
      </c>
      <c r="X63" s="460" t="s">
        <v>621</v>
      </c>
      <c r="Y63" s="460" t="s">
        <v>621</v>
      </c>
      <c r="Z63" s="460" t="s">
        <v>621</v>
      </c>
      <c r="AA63" s="460" t="s">
        <v>621</v>
      </c>
      <c r="AB63" s="460" t="s">
        <v>621</v>
      </c>
      <c r="AC63" s="460" t="s">
        <v>621</v>
      </c>
      <c r="AD63" s="460" t="s">
        <v>621</v>
      </c>
      <c r="AE63" s="460" t="s">
        <v>621</v>
      </c>
      <c r="AF63" s="460" t="s">
        <v>621</v>
      </c>
      <c r="AG63" s="460" t="s">
        <v>621</v>
      </c>
      <c r="AH63" s="460" t="s">
        <v>621</v>
      </c>
      <c r="AI63" s="460">
        <v>0</v>
      </c>
      <c r="AJ63" s="460" t="s">
        <v>621</v>
      </c>
      <c r="AK63" s="460" t="s">
        <v>621</v>
      </c>
      <c r="AL63" s="460">
        <v>0</v>
      </c>
      <c r="AM63" s="460">
        <v>0</v>
      </c>
      <c r="AN63" s="461">
        <f t="shared" si="47"/>
        <v>0</v>
      </c>
      <c r="AO63" s="460" t="s">
        <v>621</v>
      </c>
      <c r="AP63" s="460" t="s">
        <v>621</v>
      </c>
      <c r="AQ63" s="460">
        <f t="shared" si="48"/>
        <v>0</v>
      </c>
      <c r="AR63" s="460">
        <f t="shared" si="49"/>
        <v>0</v>
      </c>
      <c r="AS63" s="460">
        <v>0</v>
      </c>
      <c r="AT63" s="460" t="s">
        <v>621</v>
      </c>
      <c r="AU63" s="460" t="s">
        <v>621</v>
      </c>
      <c r="AV63" s="460">
        <v>0</v>
      </c>
      <c r="AW63" s="460">
        <v>0</v>
      </c>
      <c r="AX63" s="460" t="s">
        <v>621</v>
      </c>
      <c r="AY63" s="460" t="s">
        <v>621</v>
      </c>
      <c r="AZ63" s="460" t="s">
        <v>621</v>
      </c>
      <c r="BA63" s="460" t="s">
        <v>621</v>
      </c>
      <c r="BB63" s="460" t="s">
        <v>621</v>
      </c>
      <c r="BC63" s="460">
        <v>0</v>
      </c>
      <c r="BD63" s="460" t="s">
        <v>621</v>
      </c>
      <c r="BE63" s="460" t="s">
        <v>621</v>
      </c>
      <c r="BF63" s="460">
        <v>0</v>
      </c>
      <c r="BG63" s="460">
        <v>0</v>
      </c>
      <c r="BH63" s="460" t="s">
        <v>621</v>
      </c>
      <c r="BI63" s="460" t="s">
        <v>621</v>
      </c>
      <c r="BJ63" s="460" t="s">
        <v>621</v>
      </c>
      <c r="BK63" s="460" t="s">
        <v>621</v>
      </c>
      <c r="BL63" s="460" t="s">
        <v>621</v>
      </c>
      <c r="BM63" s="460">
        <f t="shared" si="57"/>
        <v>0.89</v>
      </c>
      <c r="BN63" s="460" t="s">
        <v>621</v>
      </c>
      <c r="BO63" s="460" t="s">
        <v>621</v>
      </c>
      <c r="BP63" s="460">
        <v>0</v>
      </c>
      <c r="BQ63" s="460">
        <f t="shared" si="60"/>
        <v>0.89</v>
      </c>
      <c r="BR63" s="460">
        <f t="shared" si="61"/>
        <v>0.95</v>
      </c>
      <c r="BS63" s="460" t="s">
        <v>621</v>
      </c>
      <c r="BT63" s="460" t="s">
        <v>621</v>
      </c>
      <c r="BU63" s="460" t="s">
        <v>621</v>
      </c>
      <c r="BV63" s="461">
        <f t="shared" si="62"/>
        <v>0.95</v>
      </c>
      <c r="BW63" s="461">
        <v>0</v>
      </c>
      <c r="BX63" s="460" t="s">
        <v>621</v>
      </c>
      <c r="BY63" s="460" t="s">
        <v>621</v>
      </c>
      <c r="BZ63" s="461">
        <v>0</v>
      </c>
      <c r="CA63" s="461">
        <v>0</v>
      </c>
      <c r="CB63" s="460" t="s">
        <v>621</v>
      </c>
      <c r="CC63" s="460" t="s">
        <v>621</v>
      </c>
      <c r="CD63" s="460" t="s">
        <v>621</v>
      </c>
      <c r="CE63" s="460" t="s">
        <v>621</v>
      </c>
      <c r="CF63" s="460" t="s">
        <v>621</v>
      </c>
      <c r="CG63" s="461">
        <f t="shared" si="50"/>
        <v>0.89</v>
      </c>
      <c r="CH63" s="460" t="s">
        <v>621</v>
      </c>
      <c r="CI63" s="460" t="s">
        <v>621</v>
      </c>
      <c r="CJ63" s="461">
        <v>0</v>
      </c>
      <c r="CK63" s="461">
        <f t="shared" si="51"/>
        <v>0.89</v>
      </c>
      <c r="CL63" s="461">
        <f t="shared" si="52"/>
        <v>0.95</v>
      </c>
      <c r="CM63" s="460" t="s">
        <v>621</v>
      </c>
      <c r="CN63" s="460" t="s">
        <v>621</v>
      </c>
      <c r="CO63" s="461">
        <f t="shared" si="53"/>
        <v>0</v>
      </c>
      <c r="CP63" s="461">
        <f t="shared" si="54"/>
        <v>0.95</v>
      </c>
      <c r="CQ63" s="460"/>
      <c r="CS63" s="561"/>
      <c r="CT63" s="562"/>
    </row>
    <row r="64" spans="1:98" s="253" customFormat="1" ht="55.5" customHeight="1" x14ac:dyDescent="0.5">
      <c r="A64" s="462" t="s">
        <v>896</v>
      </c>
      <c r="B64" s="470" t="s">
        <v>880</v>
      </c>
      <c r="C64" s="460" t="str">
        <f t="shared" si="42"/>
        <v>J_2023_1.2.4.2.12</v>
      </c>
      <c r="D64" s="460" t="s">
        <v>823</v>
      </c>
      <c r="E64" s="460">
        <v>2023</v>
      </c>
      <c r="F64" s="460">
        <v>2023</v>
      </c>
      <c r="G64" s="460" t="s">
        <v>621</v>
      </c>
      <c r="H64" s="461">
        <v>0.77</v>
      </c>
      <c r="I64" s="461">
        <f t="shared" si="43"/>
        <v>0.77</v>
      </c>
      <c r="J64" s="471">
        <v>43709</v>
      </c>
      <c r="K64" s="461">
        <f t="shared" si="45"/>
        <v>0.77</v>
      </c>
      <c r="L64" s="461">
        <f t="shared" si="46"/>
        <v>0.77</v>
      </c>
      <c r="M64" s="471">
        <v>43709</v>
      </c>
      <c r="N64" s="460" t="s">
        <v>621</v>
      </c>
      <c r="O64" s="460" t="s">
        <v>621</v>
      </c>
      <c r="P64" s="461">
        <f t="shared" si="44"/>
        <v>0.77</v>
      </c>
      <c r="Q64" s="461">
        <v>0.89</v>
      </c>
      <c r="R64" s="461">
        <f t="shared" si="55"/>
        <v>0.77</v>
      </c>
      <c r="S64" s="461">
        <f t="shared" si="58"/>
        <v>0.95</v>
      </c>
      <c r="T64" s="461">
        <f t="shared" si="59"/>
        <v>0.89</v>
      </c>
      <c r="U64" s="661">
        <v>0.95</v>
      </c>
      <c r="V64" s="460" t="s">
        <v>621</v>
      </c>
      <c r="W64" s="460" t="s">
        <v>621</v>
      </c>
      <c r="X64" s="460" t="s">
        <v>621</v>
      </c>
      <c r="Y64" s="460" t="s">
        <v>621</v>
      </c>
      <c r="Z64" s="460" t="s">
        <v>621</v>
      </c>
      <c r="AA64" s="460" t="s">
        <v>621</v>
      </c>
      <c r="AB64" s="460" t="s">
        <v>621</v>
      </c>
      <c r="AC64" s="460" t="s">
        <v>621</v>
      </c>
      <c r="AD64" s="460" t="s">
        <v>621</v>
      </c>
      <c r="AE64" s="460" t="s">
        <v>621</v>
      </c>
      <c r="AF64" s="460" t="s">
        <v>621</v>
      </c>
      <c r="AG64" s="460" t="s">
        <v>621</v>
      </c>
      <c r="AH64" s="460" t="s">
        <v>621</v>
      </c>
      <c r="AI64" s="460">
        <v>0</v>
      </c>
      <c r="AJ64" s="460" t="s">
        <v>621</v>
      </c>
      <c r="AK64" s="460" t="s">
        <v>621</v>
      </c>
      <c r="AL64" s="460">
        <v>0</v>
      </c>
      <c r="AM64" s="460">
        <v>0</v>
      </c>
      <c r="AN64" s="461">
        <f t="shared" si="47"/>
        <v>0</v>
      </c>
      <c r="AO64" s="460" t="s">
        <v>621</v>
      </c>
      <c r="AP64" s="460" t="s">
        <v>621</v>
      </c>
      <c r="AQ64" s="460">
        <f t="shared" si="48"/>
        <v>0</v>
      </c>
      <c r="AR64" s="460">
        <f t="shared" si="49"/>
        <v>0</v>
      </c>
      <c r="AS64" s="460">
        <v>0</v>
      </c>
      <c r="AT64" s="460" t="s">
        <v>621</v>
      </c>
      <c r="AU64" s="460" t="s">
        <v>621</v>
      </c>
      <c r="AV64" s="460">
        <v>0</v>
      </c>
      <c r="AW64" s="460">
        <v>0</v>
      </c>
      <c r="AX64" s="460" t="s">
        <v>621</v>
      </c>
      <c r="AY64" s="460" t="s">
        <v>621</v>
      </c>
      <c r="AZ64" s="460" t="s">
        <v>621</v>
      </c>
      <c r="BA64" s="460" t="s">
        <v>621</v>
      </c>
      <c r="BB64" s="460" t="s">
        <v>621</v>
      </c>
      <c r="BC64" s="460">
        <v>0</v>
      </c>
      <c r="BD64" s="460" t="s">
        <v>621</v>
      </c>
      <c r="BE64" s="460" t="s">
        <v>621</v>
      </c>
      <c r="BF64" s="460">
        <v>0</v>
      </c>
      <c r="BG64" s="460">
        <v>0</v>
      </c>
      <c r="BH64" s="460" t="s">
        <v>621</v>
      </c>
      <c r="BI64" s="460" t="s">
        <v>621</v>
      </c>
      <c r="BJ64" s="460" t="s">
        <v>621</v>
      </c>
      <c r="BK64" s="460" t="s">
        <v>621</v>
      </c>
      <c r="BL64" s="460" t="s">
        <v>621</v>
      </c>
      <c r="BM64" s="460">
        <f t="shared" si="57"/>
        <v>0.89</v>
      </c>
      <c r="BN64" s="460" t="s">
        <v>621</v>
      </c>
      <c r="BO64" s="460" t="s">
        <v>621</v>
      </c>
      <c r="BP64" s="460">
        <v>0</v>
      </c>
      <c r="BQ64" s="460">
        <f t="shared" si="60"/>
        <v>0.89</v>
      </c>
      <c r="BR64" s="460">
        <f t="shared" si="61"/>
        <v>0.95</v>
      </c>
      <c r="BS64" s="460" t="s">
        <v>621</v>
      </c>
      <c r="BT64" s="460" t="s">
        <v>621</v>
      </c>
      <c r="BU64" s="460" t="s">
        <v>621</v>
      </c>
      <c r="BV64" s="461">
        <f t="shared" si="62"/>
        <v>0.95</v>
      </c>
      <c r="BW64" s="461">
        <v>0</v>
      </c>
      <c r="BX64" s="460" t="s">
        <v>621</v>
      </c>
      <c r="BY64" s="460" t="s">
        <v>621</v>
      </c>
      <c r="BZ64" s="461">
        <v>0</v>
      </c>
      <c r="CA64" s="461">
        <v>0</v>
      </c>
      <c r="CB64" s="460" t="s">
        <v>621</v>
      </c>
      <c r="CC64" s="460" t="s">
        <v>621</v>
      </c>
      <c r="CD64" s="460" t="s">
        <v>621</v>
      </c>
      <c r="CE64" s="460" t="s">
        <v>621</v>
      </c>
      <c r="CF64" s="460" t="s">
        <v>621</v>
      </c>
      <c r="CG64" s="461">
        <f t="shared" si="50"/>
        <v>0.89</v>
      </c>
      <c r="CH64" s="460" t="s">
        <v>621</v>
      </c>
      <c r="CI64" s="460" t="s">
        <v>621</v>
      </c>
      <c r="CJ64" s="461">
        <v>0</v>
      </c>
      <c r="CK64" s="461">
        <f t="shared" si="51"/>
        <v>0.89</v>
      </c>
      <c r="CL64" s="461">
        <f t="shared" si="52"/>
        <v>0.95</v>
      </c>
      <c r="CM64" s="460" t="s">
        <v>621</v>
      </c>
      <c r="CN64" s="460" t="s">
        <v>621</v>
      </c>
      <c r="CO64" s="461">
        <f t="shared" si="53"/>
        <v>0</v>
      </c>
      <c r="CP64" s="461">
        <f t="shared" si="54"/>
        <v>0.95</v>
      </c>
      <c r="CQ64" s="460"/>
      <c r="CS64" s="561"/>
      <c r="CT64" s="562"/>
    </row>
    <row r="65" spans="1:98" s="253" customFormat="1" ht="51.75" customHeight="1" x14ac:dyDescent="0.5">
      <c r="A65" s="462" t="s">
        <v>897</v>
      </c>
      <c r="B65" s="470" t="s">
        <v>881</v>
      </c>
      <c r="C65" s="460" t="str">
        <f t="shared" si="42"/>
        <v>J_2023_1.2.4.2.13</v>
      </c>
      <c r="D65" s="460" t="s">
        <v>823</v>
      </c>
      <c r="E65" s="460">
        <v>2023</v>
      </c>
      <c r="F65" s="460">
        <v>2023</v>
      </c>
      <c r="G65" s="460" t="s">
        <v>621</v>
      </c>
      <c r="H65" s="461">
        <v>1.1100000000000001</v>
      </c>
      <c r="I65" s="461">
        <f t="shared" si="43"/>
        <v>1.1100000000000001</v>
      </c>
      <c r="J65" s="471">
        <v>43709</v>
      </c>
      <c r="K65" s="461">
        <f t="shared" si="45"/>
        <v>1.1100000000000001</v>
      </c>
      <c r="L65" s="461">
        <f t="shared" si="46"/>
        <v>1.1100000000000001</v>
      </c>
      <c r="M65" s="471">
        <v>43709</v>
      </c>
      <c r="N65" s="460" t="s">
        <v>621</v>
      </c>
      <c r="O65" s="460" t="s">
        <v>621</v>
      </c>
      <c r="P65" s="461">
        <f t="shared" si="44"/>
        <v>1.1100000000000001</v>
      </c>
      <c r="Q65" s="461">
        <v>1.28</v>
      </c>
      <c r="R65" s="461">
        <f t="shared" si="55"/>
        <v>1.1100000000000001</v>
      </c>
      <c r="S65" s="461">
        <f t="shared" si="58"/>
        <v>1.37</v>
      </c>
      <c r="T65" s="461">
        <f t="shared" si="59"/>
        <v>1.28</v>
      </c>
      <c r="U65" s="661">
        <v>1.37</v>
      </c>
      <c r="V65" s="460" t="s">
        <v>621</v>
      </c>
      <c r="W65" s="460" t="s">
        <v>621</v>
      </c>
      <c r="X65" s="460" t="s">
        <v>621</v>
      </c>
      <c r="Y65" s="460" t="s">
        <v>621</v>
      </c>
      <c r="Z65" s="460" t="s">
        <v>621</v>
      </c>
      <c r="AA65" s="460" t="s">
        <v>621</v>
      </c>
      <c r="AB65" s="460" t="s">
        <v>621</v>
      </c>
      <c r="AC65" s="460" t="s">
        <v>621</v>
      </c>
      <c r="AD65" s="460" t="s">
        <v>621</v>
      </c>
      <c r="AE65" s="460" t="s">
        <v>621</v>
      </c>
      <c r="AF65" s="460" t="s">
        <v>621</v>
      </c>
      <c r="AG65" s="460" t="s">
        <v>621</v>
      </c>
      <c r="AH65" s="460" t="s">
        <v>621</v>
      </c>
      <c r="AI65" s="460">
        <v>0</v>
      </c>
      <c r="AJ65" s="460" t="s">
        <v>621</v>
      </c>
      <c r="AK65" s="460" t="s">
        <v>621</v>
      </c>
      <c r="AL65" s="460">
        <v>0</v>
      </c>
      <c r="AM65" s="460">
        <v>0</v>
      </c>
      <c r="AN65" s="461">
        <f t="shared" si="47"/>
        <v>0</v>
      </c>
      <c r="AO65" s="460" t="s">
        <v>621</v>
      </c>
      <c r="AP65" s="460" t="s">
        <v>621</v>
      </c>
      <c r="AQ65" s="460">
        <f t="shared" si="48"/>
        <v>0</v>
      </c>
      <c r="AR65" s="460">
        <f t="shared" si="49"/>
        <v>0</v>
      </c>
      <c r="AS65" s="460">
        <v>0</v>
      </c>
      <c r="AT65" s="460" t="s">
        <v>621</v>
      </c>
      <c r="AU65" s="460" t="s">
        <v>621</v>
      </c>
      <c r="AV65" s="460">
        <v>0</v>
      </c>
      <c r="AW65" s="460">
        <v>0</v>
      </c>
      <c r="AX65" s="460" t="s">
        <v>621</v>
      </c>
      <c r="AY65" s="460" t="s">
        <v>621</v>
      </c>
      <c r="AZ65" s="460" t="s">
        <v>621</v>
      </c>
      <c r="BA65" s="460" t="s">
        <v>621</v>
      </c>
      <c r="BB65" s="460" t="s">
        <v>621</v>
      </c>
      <c r="BC65" s="460">
        <v>0</v>
      </c>
      <c r="BD65" s="460" t="s">
        <v>621</v>
      </c>
      <c r="BE65" s="460" t="s">
        <v>621</v>
      </c>
      <c r="BF65" s="460">
        <v>0</v>
      </c>
      <c r="BG65" s="460">
        <v>0</v>
      </c>
      <c r="BH65" s="460" t="s">
        <v>621</v>
      </c>
      <c r="BI65" s="460" t="s">
        <v>621</v>
      </c>
      <c r="BJ65" s="460" t="s">
        <v>621</v>
      </c>
      <c r="BK65" s="460" t="s">
        <v>621</v>
      </c>
      <c r="BL65" s="460" t="s">
        <v>621</v>
      </c>
      <c r="BM65" s="460">
        <f t="shared" si="57"/>
        <v>1.28</v>
      </c>
      <c r="BN65" s="460" t="s">
        <v>621</v>
      </c>
      <c r="BO65" s="460" t="s">
        <v>621</v>
      </c>
      <c r="BP65" s="460">
        <v>0</v>
      </c>
      <c r="BQ65" s="460">
        <f t="shared" si="60"/>
        <v>1.28</v>
      </c>
      <c r="BR65" s="460">
        <f t="shared" si="61"/>
        <v>1.37</v>
      </c>
      <c r="BS65" s="460" t="s">
        <v>621</v>
      </c>
      <c r="BT65" s="460" t="s">
        <v>621</v>
      </c>
      <c r="BU65" s="460" t="s">
        <v>621</v>
      </c>
      <c r="BV65" s="461">
        <f t="shared" si="62"/>
        <v>1.37</v>
      </c>
      <c r="BW65" s="461">
        <v>0</v>
      </c>
      <c r="BX65" s="460" t="s">
        <v>621</v>
      </c>
      <c r="BY65" s="460" t="s">
        <v>621</v>
      </c>
      <c r="BZ65" s="461">
        <v>0</v>
      </c>
      <c r="CA65" s="461">
        <v>0</v>
      </c>
      <c r="CB65" s="460" t="s">
        <v>621</v>
      </c>
      <c r="CC65" s="460" t="s">
        <v>621</v>
      </c>
      <c r="CD65" s="460" t="s">
        <v>621</v>
      </c>
      <c r="CE65" s="460" t="s">
        <v>621</v>
      </c>
      <c r="CF65" s="460" t="s">
        <v>621</v>
      </c>
      <c r="CG65" s="461">
        <f t="shared" si="50"/>
        <v>1.28</v>
      </c>
      <c r="CH65" s="460" t="s">
        <v>621</v>
      </c>
      <c r="CI65" s="460" t="s">
        <v>621</v>
      </c>
      <c r="CJ65" s="461">
        <v>0</v>
      </c>
      <c r="CK65" s="461">
        <f t="shared" si="51"/>
        <v>1.28</v>
      </c>
      <c r="CL65" s="461">
        <f t="shared" si="52"/>
        <v>1.37</v>
      </c>
      <c r="CM65" s="460" t="s">
        <v>621</v>
      </c>
      <c r="CN65" s="460" t="s">
        <v>621</v>
      </c>
      <c r="CO65" s="461">
        <f t="shared" si="53"/>
        <v>0</v>
      </c>
      <c r="CP65" s="461">
        <f t="shared" si="54"/>
        <v>1.37</v>
      </c>
      <c r="CQ65" s="460"/>
      <c r="CS65" s="561"/>
      <c r="CT65" s="562"/>
    </row>
    <row r="66" spans="1:98" s="253" customFormat="1" ht="57" customHeight="1" x14ac:dyDescent="0.5">
      <c r="A66" s="462" t="s">
        <v>898</v>
      </c>
      <c r="B66" s="470" t="s">
        <v>882</v>
      </c>
      <c r="C66" s="460" t="str">
        <f t="shared" si="42"/>
        <v>J_2023_1.2.4.2.14</v>
      </c>
      <c r="D66" s="460" t="s">
        <v>823</v>
      </c>
      <c r="E66" s="460">
        <v>2023</v>
      </c>
      <c r="F66" s="460">
        <v>2023</v>
      </c>
      <c r="G66" s="460" t="s">
        <v>621</v>
      </c>
      <c r="H66" s="461">
        <v>1.31</v>
      </c>
      <c r="I66" s="461">
        <f t="shared" si="43"/>
        <v>1.31</v>
      </c>
      <c r="J66" s="471">
        <v>43709</v>
      </c>
      <c r="K66" s="461">
        <f t="shared" si="45"/>
        <v>1.31</v>
      </c>
      <c r="L66" s="461">
        <f t="shared" si="46"/>
        <v>1.31</v>
      </c>
      <c r="M66" s="471">
        <v>43709</v>
      </c>
      <c r="N66" s="460" t="s">
        <v>621</v>
      </c>
      <c r="O66" s="460" t="s">
        <v>621</v>
      </c>
      <c r="P66" s="461">
        <f t="shared" si="44"/>
        <v>1.31</v>
      </c>
      <c r="Q66" s="461">
        <v>1.51</v>
      </c>
      <c r="R66" s="461">
        <f t="shared" si="55"/>
        <v>1.31</v>
      </c>
      <c r="S66" s="461">
        <f t="shared" si="58"/>
        <v>1.62</v>
      </c>
      <c r="T66" s="461">
        <f t="shared" si="59"/>
        <v>1.51</v>
      </c>
      <c r="U66" s="661">
        <v>1.62</v>
      </c>
      <c r="V66" s="460" t="s">
        <v>621</v>
      </c>
      <c r="W66" s="460" t="s">
        <v>621</v>
      </c>
      <c r="X66" s="460" t="s">
        <v>621</v>
      </c>
      <c r="Y66" s="460" t="s">
        <v>621</v>
      </c>
      <c r="Z66" s="460" t="s">
        <v>621</v>
      </c>
      <c r="AA66" s="460" t="s">
        <v>621</v>
      </c>
      <c r="AB66" s="460" t="s">
        <v>621</v>
      </c>
      <c r="AC66" s="460" t="s">
        <v>621</v>
      </c>
      <c r="AD66" s="460" t="s">
        <v>621</v>
      </c>
      <c r="AE66" s="460" t="s">
        <v>621</v>
      </c>
      <c r="AF66" s="460" t="s">
        <v>621</v>
      </c>
      <c r="AG66" s="460" t="s">
        <v>621</v>
      </c>
      <c r="AH66" s="460" t="s">
        <v>621</v>
      </c>
      <c r="AI66" s="460">
        <v>0</v>
      </c>
      <c r="AJ66" s="460" t="s">
        <v>621</v>
      </c>
      <c r="AK66" s="460" t="s">
        <v>621</v>
      </c>
      <c r="AL66" s="460">
        <v>0</v>
      </c>
      <c r="AM66" s="460">
        <v>0</v>
      </c>
      <c r="AN66" s="461">
        <f t="shared" si="47"/>
        <v>0</v>
      </c>
      <c r="AO66" s="460" t="s">
        <v>621</v>
      </c>
      <c r="AP66" s="460" t="s">
        <v>621</v>
      </c>
      <c r="AQ66" s="460">
        <f t="shared" si="48"/>
        <v>0</v>
      </c>
      <c r="AR66" s="460">
        <f t="shared" si="49"/>
        <v>0</v>
      </c>
      <c r="AS66" s="460">
        <v>0</v>
      </c>
      <c r="AT66" s="460" t="s">
        <v>621</v>
      </c>
      <c r="AU66" s="460" t="s">
        <v>621</v>
      </c>
      <c r="AV66" s="460">
        <v>0</v>
      </c>
      <c r="AW66" s="460">
        <v>0</v>
      </c>
      <c r="AX66" s="460" t="s">
        <v>621</v>
      </c>
      <c r="AY66" s="460" t="s">
        <v>621</v>
      </c>
      <c r="AZ66" s="460" t="s">
        <v>621</v>
      </c>
      <c r="BA66" s="460" t="s">
        <v>621</v>
      </c>
      <c r="BB66" s="460" t="s">
        <v>621</v>
      </c>
      <c r="BC66" s="460">
        <v>0</v>
      </c>
      <c r="BD66" s="460" t="s">
        <v>621</v>
      </c>
      <c r="BE66" s="460" t="s">
        <v>621</v>
      </c>
      <c r="BF66" s="460">
        <v>0</v>
      </c>
      <c r="BG66" s="460">
        <v>0</v>
      </c>
      <c r="BH66" s="460" t="s">
        <v>621</v>
      </c>
      <c r="BI66" s="460" t="s">
        <v>621</v>
      </c>
      <c r="BJ66" s="460" t="s">
        <v>621</v>
      </c>
      <c r="BK66" s="460" t="s">
        <v>621</v>
      </c>
      <c r="BL66" s="460" t="s">
        <v>621</v>
      </c>
      <c r="BM66" s="460">
        <f t="shared" si="57"/>
        <v>1.51</v>
      </c>
      <c r="BN66" s="460" t="s">
        <v>621</v>
      </c>
      <c r="BO66" s="460" t="s">
        <v>621</v>
      </c>
      <c r="BP66" s="460">
        <v>0</v>
      </c>
      <c r="BQ66" s="460">
        <f t="shared" si="60"/>
        <v>1.51</v>
      </c>
      <c r="BR66" s="460">
        <f t="shared" si="61"/>
        <v>1.62</v>
      </c>
      <c r="BS66" s="460" t="s">
        <v>621</v>
      </c>
      <c r="BT66" s="460" t="s">
        <v>621</v>
      </c>
      <c r="BU66" s="460" t="s">
        <v>621</v>
      </c>
      <c r="BV66" s="461">
        <f t="shared" si="62"/>
        <v>1.62</v>
      </c>
      <c r="BW66" s="461">
        <v>0</v>
      </c>
      <c r="BX66" s="460" t="s">
        <v>621</v>
      </c>
      <c r="BY66" s="460" t="s">
        <v>621</v>
      </c>
      <c r="BZ66" s="461">
        <v>0</v>
      </c>
      <c r="CA66" s="461">
        <v>0</v>
      </c>
      <c r="CB66" s="460" t="s">
        <v>621</v>
      </c>
      <c r="CC66" s="460" t="s">
        <v>621</v>
      </c>
      <c r="CD66" s="460" t="s">
        <v>621</v>
      </c>
      <c r="CE66" s="460" t="s">
        <v>621</v>
      </c>
      <c r="CF66" s="460" t="s">
        <v>621</v>
      </c>
      <c r="CG66" s="461">
        <f t="shared" si="50"/>
        <v>1.51</v>
      </c>
      <c r="CH66" s="460" t="s">
        <v>621</v>
      </c>
      <c r="CI66" s="460" t="s">
        <v>621</v>
      </c>
      <c r="CJ66" s="461">
        <v>0</v>
      </c>
      <c r="CK66" s="461">
        <f t="shared" si="51"/>
        <v>1.51</v>
      </c>
      <c r="CL66" s="461">
        <f t="shared" si="52"/>
        <v>1.62</v>
      </c>
      <c r="CM66" s="460" t="s">
        <v>621</v>
      </c>
      <c r="CN66" s="460" t="s">
        <v>621</v>
      </c>
      <c r="CO66" s="461">
        <f t="shared" si="53"/>
        <v>0</v>
      </c>
      <c r="CP66" s="461">
        <f t="shared" si="54"/>
        <v>1.62</v>
      </c>
      <c r="CQ66" s="460"/>
      <c r="CS66" s="561"/>
      <c r="CT66" s="562"/>
    </row>
    <row r="67" spans="1:98" s="253" customFormat="1" ht="42.75" customHeight="1" x14ac:dyDescent="0.5">
      <c r="A67" s="462" t="s">
        <v>899</v>
      </c>
      <c r="B67" s="470" t="s">
        <v>883</v>
      </c>
      <c r="C67" s="460" t="str">
        <f t="shared" si="42"/>
        <v>J_2023_1.2.4.2.15</v>
      </c>
      <c r="D67" s="460" t="s">
        <v>823</v>
      </c>
      <c r="E67" s="460">
        <v>2023</v>
      </c>
      <c r="F67" s="460">
        <v>2023</v>
      </c>
      <c r="G67" s="460" t="s">
        <v>621</v>
      </c>
      <c r="H67" s="461">
        <v>1.31</v>
      </c>
      <c r="I67" s="461">
        <f t="shared" si="43"/>
        <v>1.31</v>
      </c>
      <c r="J67" s="471">
        <v>43709</v>
      </c>
      <c r="K67" s="461">
        <f t="shared" si="45"/>
        <v>1.31</v>
      </c>
      <c r="L67" s="461">
        <f t="shared" si="46"/>
        <v>1.31</v>
      </c>
      <c r="M67" s="471">
        <v>43709</v>
      </c>
      <c r="N67" s="460" t="s">
        <v>621</v>
      </c>
      <c r="O67" s="460" t="s">
        <v>621</v>
      </c>
      <c r="P67" s="461">
        <f t="shared" si="44"/>
        <v>1.31</v>
      </c>
      <c r="Q67" s="461">
        <v>1.51</v>
      </c>
      <c r="R67" s="461">
        <f t="shared" si="55"/>
        <v>1.31</v>
      </c>
      <c r="S67" s="461">
        <f t="shared" si="58"/>
        <v>1.62</v>
      </c>
      <c r="T67" s="461">
        <f t="shared" si="59"/>
        <v>1.51</v>
      </c>
      <c r="U67" s="661">
        <v>1.62</v>
      </c>
      <c r="V67" s="460" t="s">
        <v>621</v>
      </c>
      <c r="W67" s="460" t="s">
        <v>621</v>
      </c>
      <c r="X67" s="460" t="s">
        <v>621</v>
      </c>
      <c r="Y67" s="460" t="s">
        <v>621</v>
      </c>
      <c r="Z67" s="460" t="s">
        <v>621</v>
      </c>
      <c r="AA67" s="460" t="s">
        <v>621</v>
      </c>
      <c r="AB67" s="460" t="s">
        <v>621</v>
      </c>
      <c r="AC67" s="460" t="s">
        <v>621</v>
      </c>
      <c r="AD67" s="460" t="s">
        <v>621</v>
      </c>
      <c r="AE67" s="460" t="s">
        <v>621</v>
      </c>
      <c r="AF67" s="460" t="s">
        <v>621</v>
      </c>
      <c r="AG67" s="460" t="s">
        <v>621</v>
      </c>
      <c r="AH67" s="460" t="s">
        <v>621</v>
      </c>
      <c r="AI67" s="460">
        <v>0</v>
      </c>
      <c r="AJ67" s="460" t="s">
        <v>621</v>
      </c>
      <c r="AK67" s="460" t="s">
        <v>621</v>
      </c>
      <c r="AL67" s="460">
        <v>0</v>
      </c>
      <c r="AM67" s="460">
        <v>0</v>
      </c>
      <c r="AN67" s="461">
        <f t="shared" si="47"/>
        <v>0</v>
      </c>
      <c r="AO67" s="460" t="s">
        <v>621</v>
      </c>
      <c r="AP67" s="460" t="s">
        <v>621</v>
      </c>
      <c r="AQ67" s="460">
        <f t="shared" si="48"/>
        <v>0</v>
      </c>
      <c r="AR67" s="460">
        <f t="shared" si="49"/>
        <v>0</v>
      </c>
      <c r="AS67" s="460">
        <v>0</v>
      </c>
      <c r="AT67" s="460" t="s">
        <v>621</v>
      </c>
      <c r="AU67" s="460" t="s">
        <v>621</v>
      </c>
      <c r="AV67" s="460">
        <v>0</v>
      </c>
      <c r="AW67" s="460">
        <v>0</v>
      </c>
      <c r="AX67" s="460" t="s">
        <v>621</v>
      </c>
      <c r="AY67" s="460" t="s">
        <v>621</v>
      </c>
      <c r="AZ67" s="460" t="s">
        <v>621</v>
      </c>
      <c r="BA67" s="460" t="s">
        <v>621</v>
      </c>
      <c r="BB67" s="460" t="s">
        <v>621</v>
      </c>
      <c r="BC67" s="460">
        <v>0</v>
      </c>
      <c r="BD67" s="460" t="s">
        <v>621</v>
      </c>
      <c r="BE67" s="460" t="s">
        <v>621</v>
      </c>
      <c r="BF67" s="460">
        <v>0</v>
      </c>
      <c r="BG67" s="460">
        <v>0</v>
      </c>
      <c r="BH67" s="460" t="s">
        <v>621</v>
      </c>
      <c r="BI67" s="460" t="s">
        <v>621</v>
      </c>
      <c r="BJ67" s="460" t="s">
        <v>621</v>
      </c>
      <c r="BK67" s="460" t="s">
        <v>621</v>
      </c>
      <c r="BL67" s="460" t="s">
        <v>621</v>
      </c>
      <c r="BM67" s="460">
        <f t="shared" si="57"/>
        <v>1.51</v>
      </c>
      <c r="BN67" s="460" t="s">
        <v>621</v>
      </c>
      <c r="BO67" s="460" t="s">
        <v>621</v>
      </c>
      <c r="BP67" s="460">
        <v>0</v>
      </c>
      <c r="BQ67" s="460">
        <f t="shared" si="60"/>
        <v>1.51</v>
      </c>
      <c r="BR67" s="460">
        <f t="shared" si="61"/>
        <v>1.62</v>
      </c>
      <c r="BS67" s="460" t="s">
        <v>621</v>
      </c>
      <c r="BT67" s="460" t="s">
        <v>621</v>
      </c>
      <c r="BU67" s="460" t="s">
        <v>621</v>
      </c>
      <c r="BV67" s="461">
        <f t="shared" si="62"/>
        <v>1.62</v>
      </c>
      <c r="BW67" s="461">
        <v>0</v>
      </c>
      <c r="BX67" s="460" t="s">
        <v>621</v>
      </c>
      <c r="BY67" s="460" t="s">
        <v>621</v>
      </c>
      <c r="BZ67" s="461">
        <v>0</v>
      </c>
      <c r="CA67" s="461">
        <v>0</v>
      </c>
      <c r="CB67" s="460" t="s">
        <v>621</v>
      </c>
      <c r="CC67" s="460" t="s">
        <v>621</v>
      </c>
      <c r="CD67" s="460" t="s">
        <v>621</v>
      </c>
      <c r="CE67" s="460" t="s">
        <v>621</v>
      </c>
      <c r="CF67" s="460" t="s">
        <v>621</v>
      </c>
      <c r="CG67" s="461">
        <f t="shared" si="50"/>
        <v>1.51</v>
      </c>
      <c r="CH67" s="460" t="s">
        <v>621</v>
      </c>
      <c r="CI67" s="460" t="s">
        <v>621</v>
      </c>
      <c r="CJ67" s="461">
        <v>0</v>
      </c>
      <c r="CK67" s="461">
        <f t="shared" si="51"/>
        <v>1.51</v>
      </c>
      <c r="CL67" s="461">
        <f t="shared" si="52"/>
        <v>1.62</v>
      </c>
      <c r="CM67" s="460" t="s">
        <v>621</v>
      </c>
      <c r="CN67" s="460" t="s">
        <v>621</v>
      </c>
      <c r="CO67" s="461">
        <f t="shared" si="53"/>
        <v>0</v>
      </c>
      <c r="CP67" s="461">
        <f t="shared" si="54"/>
        <v>1.62</v>
      </c>
      <c r="CQ67" s="460"/>
      <c r="CS67" s="561"/>
      <c r="CT67" s="562"/>
    </row>
    <row r="68" spans="1:98" s="253" customFormat="1" ht="83.25" customHeight="1" x14ac:dyDescent="0.5">
      <c r="A68" s="462" t="s">
        <v>900</v>
      </c>
      <c r="B68" s="470" t="s">
        <v>902</v>
      </c>
      <c r="C68" s="460" t="str">
        <f t="shared" si="42"/>
        <v>J_2024_1.2.4.2.16</v>
      </c>
      <c r="D68" s="460" t="s">
        <v>823</v>
      </c>
      <c r="E68" s="460">
        <v>2024</v>
      </c>
      <c r="F68" s="460">
        <v>2024</v>
      </c>
      <c r="G68" s="460" t="s">
        <v>621</v>
      </c>
      <c r="H68" s="461">
        <v>21.81</v>
      </c>
      <c r="I68" s="461">
        <f t="shared" si="43"/>
        <v>21.81</v>
      </c>
      <c r="J68" s="471">
        <v>43709</v>
      </c>
      <c r="K68" s="461">
        <f t="shared" si="45"/>
        <v>21.81</v>
      </c>
      <c r="L68" s="461">
        <f t="shared" si="46"/>
        <v>21.81</v>
      </c>
      <c r="M68" s="471">
        <v>43709</v>
      </c>
      <c r="N68" s="460" t="s">
        <v>621</v>
      </c>
      <c r="O68" s="460" t="s">
        <v>621</v>
      </c>
      <c r="P68" s="461">
        <f t="shared" si="44"/>
        <v>21.81</v>
      </c>
      <c r="Q68" s="461">
        <v>26.18</v>
      </c>
      <c r="R68" s="461">
        <f t="shared" si="55"/>
        <v>21.81</v>
      </c>
      <c r="S68" s="461">
        <f t="shared" si="58"/>
        <v>28.4</v>
      </c>
      <c r="T68" s="461">
        <f>Q68</f>
        <v>26.18</v>
      </c>
      <c r="U68" s="661">
        <v>28.4</v>
      </c>
      <c r="V68" s="460" t="s">
        <v>621</v>
      </c>
      <c r="W68" s="460" t="s">
        <v>621</v>
      </c>
      <c r="X68" s="460" t="s">
        <v>621</v>
      </c>
      <c r="Y68" s="460" t="s">
        <v>621</v>
      </c>
      <c r="Z68" s="460" t="s">
        <v>621</v>
      </c>
      <c r="AA68" s="460" t="s">
        <v>621</v>
      </c>
      <c r="AB68" s="460" t="s">
        <v>621</v>
      </c>
      <c r="AC68" s="460" t="s">
        <v>621</v>
      </c>
      <c r="AD68" s="460" t="s">
        <v>621</v>
      </c>
      <c r="AE68" s="460" t="s">
        <v>621</v>
      </c>
      <c r="AF68" s="460" t="s">
        <v>621</v>
      </c>
      <c r="AG68" s="460" t="s">
        <v>621</v>
      </c>
      <c r="AH68" s="460" t="s">
        <v>621</v>
      </c>
      <c r="AI68" s="460">
        <v>0</v>
      </c>
      <c r="AJ68" s="460" t="s">
        <v>621</v>
      </c>
      <c r="AK68" s="460" t="s">
        <v>621</v>
      </c>
      <c r="AL68" s="460">
        <v>0</v>
      </c>
      <c r="AM68" s="460">
        <v>0</v>
      </c>
      <c r="AN68" s="461">
        <f t="shared" si="47"/>
        <v>0</v>
      </c>
      <c r="AO68" s="460" t="s">
        <v>621</v>
      </c>
      <c r="AP68" s="460" t="s">
        <v>621</v>
      </c>
      <c r="AQ68" s="460">
        <f t="shared" si="48"/>
        <v>0</v>
      </c>
      <c r="AR68" s="460">
        <f t="shared" si="49"/>
        <v>0</v>
      </c>
      <c r="AS68" s="460">
        <v>0</v>
      </c>
      <c r="AT68" s="460" t="s">
        <v>621</v>
      </c>
      <c r="AU68" s="460" t="s">
        <v>621</v>
      </c>
      <c r="AV68" s="460">
        <v>0</v>
      </c>
      <c r="AW68" s="460">
        <v>0</v>
      </c>
      <c r="AX68" s="460" t="s">
        <v>621</v>
      </c>
      <c r="AY68" s="460" t="s">
        <v>621</v>
      </c>
      <c r="AZ68" s="460" t="s">
        <v>621</v>
      </c>
      <c r="BA68" s="460" t="s">
        <v>621</v>
      </c>
      <c r="BB68" s="460" t="s">
        <v>621</v>
      </c>
      <c r="BC68" s="460">
        <v>0</v>
      </c>
      <c r="BD68" s="460" t="s">
        <v>621</v>
      </c>
      <c r="BE68" s="460" t="s">
        <v>621</v>
      </c>
      <c r="BF68" s="460">
        <v>0</v>
      </c>
      <c r="BG68" s="460">
        <v>0</v>
      </c>
      <c r="BH68" s="460" t="s">
        <v>621</v>
      </c>
      <c r="BI68" s="460" t="s">
        <v>621</v>
      </c>
      <c r="BJ68" s="460" t="s">
        <v>621</v>
      </c>
      <c r="BK68" s="460" t="s">
        <v>621</v>
      </c>
      <c r="BL68" s="460" t="s">
        <v>621</v>
      </c>
      <c r="BM68" s="460">
        <v>0</v>
      </c>
      <c r="BN68" s="460" t="s">
        <v>621</v>
      </c>
      <c r="BO68" s="460" t="s">
        <v>621</v>
      </c>
      <c r="BP68" s="460">
        <v>0</v>
      </c>
      <c r="BQ68" s="460">
        <v>0</v>
      </c>
      <c r="BR68" s="460" t="s">
        <v>621</v>
      </c>
      <c r="BS68" s="460" t="s">
        <v>621</v>
      </c>
      <c r="BT68" s="460" t="s">
        <v>621</v>
      </c>
      <c r="BU68" s="460" t="s">
        <v>621</v>
      </c>
      <c r="BV68" s="460" t="s">
        <v>621</v>
      </c>
      <c r="BW68" s="461">
        <f>CA68</f>
        <v>28.4</v>
      </c>
      <c r="BX68" s="460" t="s">
        <v>621</v>
      </c>
      <c r="BY68" s="460" t="s">
        <v>621</v>
      </c>
      <c r="BZ68" s="461">
        <v>0</v>
      </c>
      <c r="CA68" s="461">
        <f>S68</f>
        <v>28.4</v>
      </c>
      <c r="CB68" s="461">
        <f>CF68</f>
        <v>28.4</v>
      </c>
      <c r="CC68" s="460" t="s">
        <v>621</v>
      </c>
      <c r="CD68" s="460" t="s">
        <v>621</v>
      </c>
      <c r="CE68" s="460" t="s">
        <v>621</v>
      </c>
      <c r="CF68" s="461">
        <f>CA68</f>
        <v>28.4</v>
      </c>
      <c r="CG68" s="461">
        <f t="shared" si="50"/>
        <v>26.18</v>
      </c>
      <c r="CH68" s="460" t="s">
        <v>621</v>
      </c>
      <c r="CI68" s="460" t="s">
        <v>621</v>
      </c>
      <c r="CJ68" s="461">
        <v>0</v>
      </c>
      <c r="CK68" s="461">
        <f t="shared" si="51"/>
        <v>26.18</v>
      </c>
      <c r="CL68" s="461">
        <f t="shared" si="52"/>
        <v>28.4</v>
      </c>
      <c r="CM68" s="460" t="s">
        <v>621</v>
      </c>
      <c r="CN68" s="460" t="s">
        <v>621</v>
      </c>
      <c r="CO68" s="461">
        <f t="shared" si="53"/>
        <v>0</v>
      </c>
      <c r="CP68" s="461">
        <f t="shared" si="54"/>
        <v>28.4</v>
      </c>
      <c r="CQ68" s="460"/>
      <c r="CS68" s="561"/>
      <c r="CT68" s="562"/>
    </row>
    <row r="69" spans="1:98" s="253" customFormat="1" ht="64.5" customHeight="1" x14ac:dyDescent="0.5">
      <c r="A69" s="462" t="s">
        <v>919</v>
      </c>
      <c r="B69" s="470" t="s">
        <v>917</v>
      </c>
      <c r="C69" s="460" t="str">
        <f t="shared" si="42"/>
        <v>J_2024_1.2.4.2.17</v>
      </c>
      <c r="D69" s="460" t="s">
        <v>823</v>
      </c>
      <c r="E69" s="460">
        <v>2024</v>
      </c>
      <c r="F69" s="460">
        <v>2024</v>
      </c>
      <c r="G69" s="460" t="s">
        <v>621</v>
      </c>
      <c r="H69" s="461">
        <v>15.5</v>
      </c>
      <c r="I69" s="461">
        <f t="shared" si="43"/>
        <v>15.5</v>
      </c>
      <c r="J69" s="471">
        <v>43709</v>
      </c>
      <c r="K69" s="461">
        <f t="shared" si="45"/>
        <v>15.5</v>
      </c>
      <c r="L69" s="461">
        <f t="shared" si="46"/>
        <v>15.5</v>
      </c>
      <c r="M69" s="471">
        <v>43709</v>
      </c>
      <c r="N69" s="460" t="s">
        <v>621</v>
      </c>
      <c r="O69" s="460" t="s">
        <v>621</v>
      </c>
      <c r="P69" s="461">
        <f t="shared" si="44"/>
        <v>15.5</v>
      </c>
      <c r="Q69" s="461">
        <v>18.61</v>
      </c>
      <c r="R69" s="461">
        <f t="shared" si="55"/>
        <v>15.5</v>
      </c>
      <c r="S69" s="461">
        <f t="shared" si="58"/>
        <v>20.18</v>
      </c>
      <c r="T69" s="461">
        <f>Q69</f>
        <v>18.61</v>
      </c>
      <c r="U69" s="661">
        <v>20.18</v>
      </c>
      <c r="V69" s="460" t="s">
        <v>621</v>
      </c>
      <c r="W69" s="460" t="s">
        <v>621</v>
      </c>
      <c r="X69" s="460" t="s">
        <v>621</v>
      </c>
      <c r="Y69" s="460" t="s">
        <v>621</v>
      </c>
      <c r="Z69" s="460" t="s">
        <v>621</v>
      </c>
      <c r="AA69" s="460" t="s">
        <v>621</v>
      </c>
      <c r="AB69" s="460" t="s">
        <v>621</v>
      </c>
      <c r="AC69" s="460" t="s">
        <v>621</v>
      </c>
      <c r="AD69" s="460" t="s">
        <v>621</v>
      </c>
      <c r="AE69" s="460" t="s">
        <v>621</v>
      </c>
      <c r="AF69" s="460" t="s">
        <v>621</v>
      </c>
      <c r="AG69" s="460" t="s">
        <v>621</v>
      </c>
      <c r="AH69" s="460" t="s">
        <v>621</v>
      </c>
      <c r="AI69" s="460">
        <v>0</v>
      </c>
      <c r="AJ69" s="460" t="s">
        <v>621</v>
      </c>
      <c r="AK69" s="460" t="s">
        <v>621</v>
      </c>
      <c r="AL69" s="460">
        <v>0</v>
      </c>
      <c r="AM69" s="460">
        <v>0</v>
      </c>
      <c r="AN69" s="461">
        <f t="shared" si="47"/>
        <v>0</v>
      </c>
      <c r="AO69" s="460" t="s">
        <v>621</v>
      </c>
      <c r="AP69" s="460" t="s">
        <v>621</v>
      </c>
      <c r="AQ69" s="460">
        <f t="shared" si="48"/>
        <v>0</v>
      </c>
      <c r="AR69" s="460">
        <f t="shared" si="49"/>
        <v>0</v>
      </c>
      <c r="AS69" s="460">
        <v>0</v>
      </c>
      <c r="AT69" s="460" t="s">
        <v>621</v>
      </c>
      <c r="AU69" s="460" t="s">
        <v>621</v>
      </c>
      <c r="AV69" s="460">
        <v>0</v>
      </c>
      <c r="AW69" s="460">
        <v>0</v>
      </c>
      <c r="AX69" s="460" t="s">
        <v>621</v>
      </c>
      <c r="AY69" s="460" t="s">
        <v>621</v>
      </c>
      <c r="AZ69" s="460" t="s">
        <v>621</v>
      </c>
      <c r="BA69" s="460" t="s">
        <v>621</v>
      </c>
      <c r="BB69" s="460" t="s">
        <v>621</v>
      </c>
      <c r="BC69" s="460">
        <v>0</v>
      </c>
      <c r="BD69" s="460" t="s">
        <v>621</v>
      </c>
      <c r="BE69" s="460" t="s">
        <v>621</v>
      </c>
      <c r="BF69" s="460">
        <v>0</v>
      </c>
      <c r="BG69" s="460">
        <v>0</v>
      </c>
      <c r="BH69" s="460" t="s">
        <v>621</v>
      </c>
      <c r="BI69" s="460" t="s">
        <v>621</v>
      </c>
      <c r="BJ69" s="460" t="s">
        <v>621</v>
      </c>
      <c r="BK69" s="460" t="s">
        <v>621</v>
      </c>
      <c r="BL69" s="460" t="s">
        <v>621</v>
      </c>
      <c r="BM69" s="460">
        <v>0</v>
      </c>
      <c r="BN69" s="460" t="s">
        <v>621</v>
      </c>
      <c r="BO69" s="460" t="s">
        <v>621</v>
      </c>
      <c r="BP69" s="460">
        <v>0</v>
      </c>
      <c r="BQ69" s="460">
        <v>0</v>
      </c>
      <c r="BR69" s="460" t="s">
        <v>621</v>
      </c>
      <c r="BS69" s="460" t="s">
        <v>621</v>
      </c>
      <c r="BT69" s="460" t="s">
        <v>621</v>
      </c>
      <c r="BU69" s="460" t="s">
        <v>621</v>
      </c>
      <c r="BV69" s="460" t="s">
        <v>621</v>
      </c>
      <c r="BW69" s="461">
        <f>CK69</f>
        <v>18.61</v>
      </c>
      <c r="BX69" s="460" t="s">
        <v>621</v>
      </c>
      <c r="BY69" s="460" t="s">
        <v>621</v>
      </c>
      <c r="BZ69" s="461">
        <v>0</v>
      </c>
      <c r="CA69" s="461">
        <f>CL69</f>
        <v>20.18</v>
      </c>
      <c r="CB69" s="461">
        <f>CF69</f>
        <v>20.18</v>
      </c>
      <c r="CC69" s="460" t="s">
        <v>621</v>
      </c>
      <c r="CD69" s="460" t="s">
        <v>621</v>
      </c>
      <c r="CE69" s="460" t="s">
        <v>621</v>
      </c>
      <c r="CF69" s="461">
        <f>CA69</f>
        <v>20.18</v>
      </c>
      <c r="CG69" s="461">
        <f t="shared" si="50"/>
        <v>18.61</v>
      </c>
      <c r="CH69" s="460" t="s">
        <v>621</v>
      </c>
      <c r="CI69" s="460" t="s">
        <v>621</v>
      </c>
      <c r="CJ69" s="461">
        <v>0</v>
      </c>
      <c r="CK69" s="461">
        <f t="shared" si="51"/>
        <v>18.61</v>
      </c>
      <c r="CL69" s="461">
        <f t="shared" si="52"/>
        <v>20.18</v>
      </c>
      <c r="CM69" s="460" t="s">
        <v>621</v>
      </c>
      <c r="CN69" s="460" t="s">
        <v>621</v>
      </c>
      <c r="CO69" s="461">
        <f t="shared" si="53"/>
        <v>0</v>
      </c>
      <c r="CP69" s="461">
        <f t="shared" si="54"/>
        <v>20.18</v>
      </c>
      <c r="CQ69" s="460"/>
      <c r="CS69" s="561"/>
      <c r="CT69" s="562"/>
    </row>
    <row r="70" spans="1:98" s="583" customFormat="1" ht="105" hidden="1" customHeight="1" x14ac:dyDescent="0.5">
      <c r="A70" s="462" t="s">
        <v>920</v>
      </c>
      <c r="B70" s="942" t="s">
        <v>690</v>
      </c>
      <c r="C70" s="460" t="str">
        <f t="shared" si="42"/>
        <v>J_0_1.2.4.2.18</v>
      </c>
      <c r="D70" s="460">
        <f t="shared" ref="D70:BI70" si="63">D71</f>
        <v>0</v>
      </c>
      <c r="E70" s="460">
        <f t="shared" si="63"/>
        <v>0</v>
      </c>
      <c r="F70" s="460">
        <f t="shared" si="63"/>
        <v>0</v>
      </c>
      <c r="G70" s="460">
        <f t="shared" si="63"/>
        <v>0</v>
      </c>
      <c r="H70" s="460">
        <f t="shared" si="63"/>
        <v>0</v>
      </c>
      <c r="I70" s="460">
        <f t="shared" si="63"/>
        <v>0</v>
      </c>
      <c r="J70" s="460">
        <f t="shared" si="63"/>
        <v>0</v>
      </c>
      <c r="K70" s="460">
        <f t="shared" si="63"/>
        <v>0</v>
      </c>
      <c r="L70" s="460">
        <f t="shared" si="63"/>
        <v>0</v>
      </c>
      <c r="M70" s="471">
        <v>43739</v>
      </c>
      <c r="N70" s="460">
        <f t="shared" si="63"/>
        <v>0</v>
      </c>
      <c r="O70" s="460">
        <f t="shared" si="63"/>
        <v>0</v>
      </c>
      <c r="P70" s="460">
        <f t="shared" si="63"/>
        <v>0</v>
      </c>
      <c r="Q70" s="460">
        <f t="shared" si="63"/>
        <v>0</v>
      </c>
      <c r="R70" s="460">
        <f t="shared" si="63"/>
        <v>0</v>
      </c>
      <c r="S70" s="461">
        <f t="shared" ca="1" si="58"/>
        <v>0</v>
      </c>
      <c r="T70" s="460">
        <f t="shared" si="63"/>
        <v>0</v>
      </c>
      <c r="U70" s="661">
        <f ca="1">CL70</f>
        <v>0</v>
      </c>
      <c r="V70" s="460">
        <f t="shared" si="63"/>
        <v>0</v>
      </c>
      <c r="W70" s="460">
        <f t="shared" si="63"/>
        <v>0</v>
      </c>
      <c r="X70" s="460">
        <f t="shared" si="63"/>
        <v>0</v>
      </c>
      <c r="Y70" s="460">
        <f t="shared" si="63"/>
        <v>0</v>
      </c>
      <c r="Z70" s="460">
        <f t="shared" si="63"/>
        <v>0</v>
      </c>
      <c r="AA70" s="460">
        <f t="shared" si="63"/>
        <v>0</v>
      </c>
      <c r="AB70" s="460">
        <f t="shared" si="63"/>
        <v>0</v>
      </c>
      <c r="AC70" s="460">
        <f t="shared" si="63"/>
        <v>0</v>
      </c>
      <c r="AD70" s="460">
        <f t="shared" si="63"/>
        <v>0</v>
      </c>
      <c r="AE70" s="460">
        <f t="shared" si="63"/>
        <v>0</v>
      </c>
      <c r="AF70" s="460">
        <f t="shared" si="63"/>
        <v>0</v>
      </c>
      <c r="AG70" s="460">
        <f t="shared" si="63"/>
        <v>0</v>
      </c>
      <c r="AH70" s="460">
        <f t="shared" si="63"/>
        <v>0</v>
      </c>
      <c r="AI70" s="460">
        <f t="shared" si="63"/>
        <v>0</v>
      </c>
      <c r="AJ70" s="460">
        <f t="shared" si="63"/>
        <v>0</v>
      </c>
      <c r="AK70" s="460">
        <f t="shared" si="63"/>
        <v>0</v>
      </c>
      <c r="AL70" s="460">
        <f t="shared" si="63"/>
        <v>0</v>
      </c>
      <c r="AM70" s="460">
        <f t="shared" si="63"/>
        <v>0</v>
      </c>
      <c r="AN70" s="460">
        <f t="shared" si="63"/>
        <v>0</v>
      </c>
      <c r="AO70" s="460">
        <f t="shared" si="63"/>
        <v>0</v>
      </c>
      <c r="AP70" s="460">
        <f t="shared" si="63"/>
        <v>0</v>
      </c>
      <c r="AQ70" s="460">
        <f t="shared" si="63"/>
        <v>0</v>
      </c>
      <c r="AR70" s="460">
        <f t="shared" si="63"/>
        <v>0</v>
      </c>
      <c r="AS70" s="460">
        <f t="shared" si="63"/>
        <v>0</v>
      </c>
      <c r="AT70" s="460">
        <f t="shared" si="63"/>
        <v>0</v>
      </c>
      <c r="AU70" s="460">
        <f t="shared" si="63"/>
        <v>0</v>
      </c>
      <c r="AV70" s="460">
        <f t="shared" si="63"/>
        <v>0</v>
      </c>
      <c r="AW70" s="460">
        <f t="shared" si="63"/>
        <v>0</v>
      </c>
      <c r="AX70" s="460">
        <f t="shared" si="63"/>
        <v>0</v>
      </c>
      <c r="AY70" s="460">
        <f t="shared" si="63"/>
        <v>0</v>
      </c>
      <c r="AZ70" s="460">
        <f t="shared" si="63"/>
        <v>0</v>
      </c>
      <c r="BA70" s="460">
        <f t="shared" si="63"/>
        <v>0</v>
      </c>
      <c r="BB70" s="460">
        <f t="shared" si="63"/>
        <v>0</v>
      </c>
      <c r="BC70" s="460">
        <f t="shared" si="63"/>
        <v>0</v>
      </c>
      <c r="BD70" s="460">
        <f t="shared" si="63"/>
        <v>0</v>
      </c>
      <c r="BE70" s="460">
        <f t="shared" si="63"/>
        <v>0</v>
      </c>
      <c r="BF70" s="460">
        <f t="shared" si="63"/>
        <v>0</v>
      </c>
      <c r="BG70" s="460">
        <f t="shared" si="63"/>
        <v>0</v>
      </c>
      <c r="BH70" s="460">
        <f t="shared" si="63"/>
        <v>0</v>
      </c>
      <c r="BI70" s="460">
        <f t="shared" si="63"/>
        <v>0</v>
      </c>
      <c r="BJ70" s="460">
        <f>BJ71</f>
        <v>0</v>
      </c>
      <c r="BK70" s="460">
        <f>BK71</f>
        <v>0</v>
      </c>
      <c r="BL70" s="460">
        <f>BL71</f>
        <v>0</v>
      </c>
      <c r="BM70" s="460">
        <v>1</v>
      </c>
      <c r="BN70" s="460" t="s">
        <v>621</v>
      </c>
      <c r="BO70" s="460" t="s">
        <v>621</v>
      </c>
      <c r="BP70" s="460">
        <v>0</v>
      </c>
      <c r="BQ70" s="460">
        <v>0</v>
      </c>
      <c r="BR70" s="460" t="s">
        <v>621</v>
      </c>
      <c r="BS70" s="460" t="s">
        <v>621</v>
      </c>
      <c r="BT70" s="460" t="s">
        <v>621</v>
      </c>
      <c r="BU70" s="460" t="s">
        <v>621</v>
      </c>
      <c r="BV70" s="460" t="s">
        <v>621</v>
      </c>
      <c r="BW70" s="460">
        <f>BW71</f>
        <v>0</v>
      </c>
      <c r="BX70" s="460" t="s">
        <v>621</v>
      </c>
      <c r="BY70" s="460" t="s">
        <v>621</v>
      </c>
      <c r="BZ70" s="461">
        <v>1</v>
      </c>
      <c r="CA70" s="460">
        <f>CA71</f>
        <v>0</v>
      </c>
      <c r="CB70" s="460">
        <f>CB71</f>
        <v>0</v>
      </c>
      <c r="CC70" s="460" t="s">
        <v>621</v>
      </c>
      <c r="CD70" s="460" t="s">
        <v>621</v>
      </c>
      <c r="CE70" s="460" t="s">
        <v>621</v>
      </c>
      <c r="CF70" s="460">
        <f>CF71</f>
        <v>0</v>
      </c>
      <c r="CG70" s="461">
        <f t="shared" si="50"/>
        <v>0</v>
      </c>
      <c r="CH70" s="460" t="s">
        <v>621</v>
      </c>
      <c r="CI70" s="460" t="s">
        <v>621</v>
      </c>
      <c r="CJ70" s="460">
        <f>CJ71</f>
        <v>0</v>
      </c>
      <c r="CK70" s="461">
        <f t="shared" si="51"/>
        <v>0</v>
      </c>
      <c r="CL70" s="461">
        <f t="shared" ca="1" si="52"/>
        <v>9.17</v>
      </c>
      <c r="CM70" s="460" t="s">
        <v>621</v>
      </c>
      <c r="CN70" s="460" t="s">
        <v>621</v>
      </c>
      <c r="CO70" s="461">
        <f>CJ70</f>
        <v>0</v>
      </c>
      <c r="CP70" s="461">
        <f t="shared" ca="1" si="54"/>
        <v>0</v>
      </c>
      <c r="CQ70" s="460">
        <f>CQ71</f>
        <v>0</v>
      </c>
      <c r="CS70" s="561"/>
    </row>
    <row r="71" spans="1:98" s="466" customFormat="1" ht="232.5" hidden="1" customHeight="1" x14ac:dyDescent="0.5">
      <c r="A71" s="462" t="s">
        <v>921</v>
      </c>
      <c r="B71" s="943"/>
      <c r="C71" s="460" t="str">
        <f t="shared" si="42"/>
        <v>J__1.2.4.2.19</v>
      </c>
      <c r="D71" s="460"/>
      <c r="E71" s="460"/>
      <c r="F71" s="460"/>
      <c r="G71" s="460"/>
      <c r="H71" s="461"/>
      <c r="I71" s="461"/>
      <c r="J71" s="471"/>
      <c r="K71" s="461"/>
      <c r="L71" s="461"/>
      <c r="M71" s="471">
        <v>43770</v>
      </c>
      <c r="N71" s="460"/>
      <c r="O71" s="460"/>
      <c r="P71" s="460"/>
      <c r="Q71" s="460"/>
      <c r="R71" s="461"/>
      <c r="S71" s="461">
        <f t="shared" ca="1" si="58"/>
        <v>0</v>
      </c>
      <c r="T71" s="461"/>
      <c r="U71" s="661">
        <f ca="1">CL71</f>
        <v>0</v>
      </c>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v>2</v>
      </c>
      <c r="BN71" s="460" t="s">
        <v>621</v>
      </c>
      <c r="BO71" s="460" t="s">
        <v>621</v>
      </c>
      <c r="BP71" s="460">
        <v>0</v>
      </c>
      <c r="BQ71" s="460">
        <v>0</v>
      </c>
      <c r="BR71" s="460" t="s">
        <v>621</v>
      </c>
      <c r="BS71" s="460" t="s">
        <v>621</v>
      </c>
      <c r="BT71" s="460" t="s">
        <v>621</v>
      </c>
      <c r="BU71" s="460" t="s">
        <v>621</v>
      </c>
      <c r="BV71" s="460" t="s">
        <v>621</v>
      </c>
      <c r="BW71" s="460"/>
      <c r="BX71" s="460" t="s">
        <v>621</v>
      </c>
      <c r="BY71" s="460" t="s">
        <v>621</v>
      </c>
      <c r="BZ71" s="461">
        <v>2</v>
      </c>
      <c r="CA71" s="460"/>
      <c r="CB71" s="460"/>
      <c r="CC71" s="460" t="s">
        <v>621</v>
      </c>
      <c r="CD71" s="460" t="s">
        <v>621</v>
      </c>
      <c r="CE71" s="460" t="s">
        <v>621</v>
      </c>
      <c r="CF71" s="460"/>
      <c r="CG71" s="461">
        <f t="shared" si="50"/>
        <v>0</v>
      </c>
      <c r="CH71" s="460" t="s">
        <v>621</v>
      </c>
      <c r="CI71" s="460" t="s">
        <v>621</v>
      </c>
      <c r="CJ71" s="460"/>
      <c r="CK71" s="461">
        <f t="shared" si="51"/>
        <v>0</v>
      </c>
      <c r="CL71" s="461">
        <f t="shared" ca="1" si="52"/>
        <v>9.17</v>
      </c>
      <c r="CM71" s="460" t="s">
        <v>621</v>
      </c>
      <c r="CN71" s="460" t="s">
        <v>621</v>
      </c>
      <c r="CO71" s="461">
        <f>CJ71</f>
        <v>0</v>
      </c>
      <c r="CP71" s="461">
        <f t="shared" ca="1" si="54"/>
        <v>0</v>
      </c>
      <c r="CQ71" s="460"/>
      <c r="CR71" s="253"/>
      <c r="CS71" s="561"/>
      <c r="CT71" s="563"/>
    </row>
    <row r="72" spans="1:98" s="466" customFormat="1" ht="83.25" customHeight="1" x14ac:dyDescent="0.5">
      <c r="A72" s="462" t="s">
        <v>920</v>
      </c>
      <c r="B72" s="517" t="s">
        <v>1717</v>
      </c>
      <c r="C72" s="460" t="str">
        <f t="shared" si="42"/>
        <v>J_2022_1.2.4.2.18</v>
      </c>
      <c r="D72" s="460" t="s">
        <v>823</v>
      </c>
      <c r="E72" s="460">
        <v>2022</v>
      </c>
      <c r="F72" s="460" t="s">
        <v>621</v>
      </c>
      <c r="G72" s="460">
        <v>2022</v>
      </c>
      <c r="H72" s="461" t="s">
        <v>621</v>
      </c>
      <c r="I72" s="461" t="s">
        <v>621</v>
      </c>
      <c r="J72" s="471" t="s">
        <v>621</v>
      </c>
      <c r="K72" s="461">
        <v>12.33</v>
      </c>
      <c r="L72" s="461">
        <v>12.33</v>
      </c>
      <c r="M72" s="471">
        <v>44287</v>
      </c>
      <c r="N72" s="460" t="s">
        <v>621</v>
      </c>
      <c r="O72" s="460" t="s">
        <v>621</v>
      </c>
      <c r="P72" s="460" t="s">
        <v>621</v>
      </c>
      <c r="Q72" s="460" t="s">
        <v>621</v>
      </c>
      <c r="R72" s="461">
        <v>12.33</v>
      </c>
      <c r="S72" s="461">
        <f t="shared" si="58"/>
        <v>12.98</v>
      </c>
      <c r="T72" s="461">
        <v>0</v>
      </c>
      <c r="U72" s="661">
        <v>12.98</v>
      </c>
      <c r="V72" s="460" t="s">
        <v>621</v>
      </c>
      <c r="W72" s="460" t="s">
        <v>621</v>
      </c>
      <c r="X72" s="460" t="s">
        <v>621</v>
      </c>
      <c r="Y72" s="460" t="s">
        <v>621</v>
      </c>
      <c r="Z72" s="460" t="s">
        <v>621</v>
      </c>
      <c r="AA72" s="460" t="s">
        <v>621</v>
      </c>
      <c r="AB72" s="460" t="s">
        <v>621</v>
      </c>
      <c r="AC72" s="460" t="s">
        <v>621</v>
      </c>
      <c r="AD72" s="460" t="s">
        <v>621</v>
      </c>
      <c r="AE72" s="460" t="s">
        <v>621</v>
      </c>
      <c r="AF72" s="460" t="s">
        <v>621</v>
      </c>
      <c r="AG72" s="460" t="s">
        <v>621</v>
      </c>
      <c r="AH72" s="460" t="s">
        <v>621</v>
      </c>
      <c r="AI72" s="460">
        <v>0</v>
      </c>
      <c r="AJ72" s="460" t="s">
        <v>621</v>
      </c>
      <c r="AK72" s="460" t="s">
        <v>621</v>
      </c>
      <c r="AL72" s="460">
        <v>0</v>
      </c>
      <c r="AM72" s="460">
        <v>0</v>
      </c>
      <c r="AN72" s="461">
        <f>AI72</f>
        <v>0</v>
      </c>
      <c r="AO72" s="460" t="s">
        <v>621</v>
      </c>
      <c r="AP72" s="460" t="s">
        <v>621</v>
      </c>
      <c r="AQ72" s="460">
        <f>AL72</f>
        <v>0</v>
      </c>
      <c r="AR72" s="460">
        <f>AM72</f>
        <v>0</v>
      </c>
      <c r="AS72" s="460">
        <v>0</v>
      </c>
      <c r="AT72" s="460" t="s">
        <v>621</v>
      </c>
      <c r="AU72" s="460" t="s">
        <v>621</v>
      </c>
      <c r="AV72" s="460">
        <v>0</v>
      </c>
      <c r="AW72" s="460">
        <v>0</v>
      </c>
      <c r="AX72" s="461">
        <v>0</v>
      </c>
      <c r="AY72" s="460" t="s">
        <v>621</v>
      </c>
      <c r="AZ72" s="460" t="s">
        <v>621</v>
      </c>
      <c r="BA72" s="460" t="s">
        <v>621</v>
      </c>
      <c r="BB72" s="461">
        <v>0</v>
      </c>
      <c r="BC72" s="461">
        <v>0</v>
      </c>
      <c r="BD72" s="460" t="s">
        <v>621</v>
      </c>
      <c r="BE72" s="460" t="s">
        <v>621</v>
      </c>
      <c r="BF72" s="460" t="s">
        <v>621</v>
      </c>
      <c r="BG72" s="461">
        <f>BC72</f>
        <v>0</v>
      </c>
      <c r="BH72" s="461">
        <f>U72</f>
        <v>12.98</v>
      </c>
      <c r="BI72" s="460" t="s">
        <v>1728</v>
      </c>
      <c r="BJ72" s="460" t="s">
        <v>1728</v>
      </c>
      <c r="BK72" s="460" t="s">
        <v>1728</v>
      </c>
      <c r="BL72" s="461">
        <f>U72</f>
        <v>12.98</v>
      </c>
      <c r="BM72" s="460">
        <v>3</v>
      </c>
      <c r="BN72" s="460" t="s">
        <v>621</v>
      </c>
      <c r="BO72" s="460" t="s">
        <v>621</v>
      </c>
      <c r="BP72" s="460">
        <v>0</v>
      </c>
      <c r="BQ72" s="460">
        <v>0</v>
      </c>
      <c r="BR72" s="460" t="s">
        <v>621</v>
      </c>
      <c r="BS72" s="460" t="s">
        <v>621</v>
      </c>
      <c r="BT72" s="460" t="s">
        <v>621</v>
      </c>
      <c r="BU72" s="460" t="s">
        <v>621</v>
      </c>
      <c r="BV72" s="460" t="s">
        <v>621</v>
      </c>
      <c r="BW72" s="460">
        <v>0</v>
      </c>
      <c r="BX72" s="460" t="s">
        <v>621</v>
      </c>
      <c r="BY72" s="460" t="s">
        <v>621</v>
      </c>
      <c r="BZ72" s="461">
        <v>0</v>
      </c>
      <c r="CA72" s="460">
        <v>0</v>
      </c>
      <c r="CB72" s="460">
        <v>0</v>
      </c>
      <c r="CC72" s="460" t="s">
        <v>621</v>
      </c>
      <c r="CD72" s="460" t="s">
        <v>621</v>
      </c>
      <c r="CE72" s="460" t="s">
        <v>621</v>
      </c>
      <c r="CF72" s="460">
        <v>0</v>
      </c>
      <c r="CG72" s="461" t="str">
        <f t="shared" si="50"/>
        <v>нд</v>
      </c>
      <c r="CH72" s="460" t="s">
        <v>621</v>
      </c>
      <c r="CI72" s="460" t="s">
        <v>621</v>
      </c>
      <c r="CJ72" s="460">
        <v>0</v>
      </c>
      <c r="CK72" s="461" t="str">
        <f t="shared" si="51"/>
        <v>нд</v>
      </c>
      <c r="CL72" s="461">
        <f t="shared" si="52"/>
        <v>12.98</v>
      </c>
      <c r="CM72" s="460" t="s">
        <v>621</v>
      </c>
      <c r="CN72" s="460" t="s">
        <v>621</v>
      </c>
      <c r="CO72" s="461">
        <f>CJ72</f>
        <v>0</v>
      </c>
      <c r="CP72" s="461">
        <f t="shared" si="54"/>
        <v>12.98</v>
      </c>
      <c r="CQ72" s="460"/>
      <c r="CR72" s="253"/>
      <c r="CS72" s="561"/>
      <c r="CT72" s="563"/>
    </row>
    <row r="73" spans="1:98" s="466" customFormat="1" ht="51.75" customHeight="1" x14ac:dyDescent="0.5">
      <c r="A73" s="462" t="s">
        <v>921</v>
      </c>
      <c r="B73" s="517" t="s">
        <v>1718</v>
      </c>
      <c r="C73" s="460" t="str">
        <f t="shared" si="42"/>
        <v>J_2022_1.2.4.2.19</v>
      </c>
      <c r="D73" s="460" t="s">
        <v>823</v>
      </c>
      <c r="E73" s="460">
        <v>2022</v>
      </c>
      <c r="F73" s="460" t="s">
        <v>621</v>
      </c>
      <c r="G73" s="460">
        <v>2022</v>
      </c>
      <c r="H73" s="461" t="s">
        <v>621</v>
      </c>
      <c r="I73" s="461" t="s">
        <v>621</v>
      </c>
      <c r="J73" s="471" t="s">
        <v>621</v>
      </c>
      <c r="K73" s="461">
        <v>3.23</v>
      </c>
      <c r="L73" s="461">
        <v>3.23</v>
      </c>
      <c r="M73" s="471">
        <v>44287</v>
      </c>
      <c r="N73" s="460" t="s">
        <v>621</v>
      </c>
      <c r="O73" s="460" t="s">
        <v>621</v>
      </c>
      <c r="P73" s="460" t="s">
        <v>621</v>
      </c>
      <c r="Q73" s="460" t="s">
        <v>621</v>
      </c>
      <c r="R73" s="461">
        <v>3.23</v>
      </c>
      <c r="S73" s="461">
        <f t="shared" si="58"/>
        <v>3.4</v>
      </c>
      <c r="T73" s="461">
        <v>0</v>
      </c>
      <c r="U73" s="661">
        <v>3.4</v>
      </c>
      <c r="V73" s="460" t="s">
        <v>621</v>
      </c>
      <c r="W73" s="460" t="s">
        <v>621</v>
      </c>
      <c r="X73" s="460" t="s">
        <v>621</v>
      </c>
      <c r="Y73" s="460" t="s">
        <v>621</v>
      </c>
      <c r="Z73" s="460" t="s">
        <v>621</v>
      </c>
      <c r="AA73" s="460" t="s">
        <v>621</v>
      </c>
      <c r="AB73" s="460" t="s">
        <v>621</v>
      </c>
      <c r="AC73" s="460" t="s">
        <v>621</v>
      </c>
      <c r="AD73" s="460" t="s">
        <v>621</v>
      </c>
      <c r="AE73" s="460" t="s">
        <v>621</v>
      </c>
      <c r="AF73" s="460" t="s">
        <v>621</v>
      </c>
      <c r="AG73" s="460" t="s">
        <v>621</v>
      </c>
      <c r="AH73" s="460" t="s">
        <v>621</v>
      </c>
      <c r="AI73" s="460">
        <v>0</v>
      </c>
      <c r="AJ73" s="460" t="s">
        <v>621</v>
      </c>
      <c r="AK73" s="460" t="s">
        <v>621</v>
      </c>
      <c r="AL73" s="460">
        <v>0</v>
      </c>
      <c r="AM73" s="460">
        <v>0</v>
      </c>
      <c r="AN73" s="461">
        <f>AI73</f>
        <v>0</v>
      </c>
      <c r="AO73" s="460" t="s">
        <v>621</v>
      </c>
      <c r="AP73" s="460" t="s">
        <v>621</v>
      </c>
      <c r="AQ73" s="460">
        <f>AL73</f>
        <v>0</v>
      </c>
      <c r="AR73" s="460">
        <f>AM73</f>
        <v>0</v>
      </c>
      <c r="AS73" s="460">
        <v>0</v>
      </c>
      <c r="AT73" s="460" t="s">
        <v>621</v>
      </c>
      <c r="AU73" s="460" t="s">
        <v>621</v>
      </c>
      <c r="AV73" s="460">
        <v>0</v>
      </c>
      <c r="AW73" s="460">
        <v>0</v>
      </c>
      <c r="AX73" s="461">
        <v>0</v>
      </c>
      <c r="AY73" s="460" t="s">
        <v>621</v>
      </c>
      <c r="AZ73" s="460" t="s">
        <v>621</v>
      </c>
      <c r="BA73" s="460" t="s">
        <v>621</v>
      </c>
      <c r="BB73" s="461">
        <v>0</v>
      </c>
      <c r="BC73" s="461">
        <v>0</v>
      </c>
      <c r="BD73" s="460" t="s">
        <v>621</v>
      </c>
      <c r="BE73" s="460" t="s">
        <v>621</v>
      </c>
      <c r="BF73" s="460" t="s">
        <v>621</v>
      </c>
      <c r="BG73" s="461">
        <f>BC73</f>
        <v>0</v>
      </c>
      <c r="BH73" s="461">
        <f>U73</f>
        <v>3.4</v>
      </c>
      <c r="BI73" s="460" t="s">
        <v>1728</v>
      </c>
      <c r="BJ73" s="460" t="s">
        <v>1728</v>
      </c>
      <c r="BK73" s="460" t="s">
        <v>1728</v>
      </c>
      <c r="BL73" s="461">
        <f>BH73</f>
        <v>3.4</v>
      </c>
      <c r="BM73" s="460">
        <v>4</v>
      </c>
      <c r="BN73" s="460" t="s">
        <v>621</v>
      </c>
      <c r="BO73" s="460" t="s">
        <v>621</v>
      </c>
      <c r="BP73" s="460">
        <v>0</v>
      </c>
      <c r="BQ73" s="460">
        <v>0</v>
      </c>
      <c r="BR73" s="460" t="s">
        <v>621</v>
      </c>
      <c r="BS73" s="460" t="s">
        <v>621</v>
      </c>
      <c r="BT73" s="460" t="s">
        <v>621</v>
      </c>
      <c r="BU73" s="460" t="s">
        <v>621</v>
      </c>
      <c r="BV73" s="460" t="s">
        <v>621</v>
      </c>
      <c r="BW73" s="460">
        <v>0</v>
      </c>
      <c r="BX73" s="460" t="s">
        <v>621</v>
      </c>
      <c r="BY73" s="460" t="s">
        <v>621</v>
      </c>
      <c r="BZ73" s="461">
        <v>0</v>
      </c>
      <c r="CA73" s="460">
        <v>0</v>
      </c>
      <c r="CB73" s="460">
        <v>0</v>
      </c>
      <c r="CC73" s="460" t="s">
        <v>621</v>
      </c>
      <c r="CD73" s="460" t="s">
        <v>621</v>
      </c>
      <c r="CE73" s="460" t="s">
        <v>621</v>
      </c>
      <c r="CF73" s="460">
        <v>0</v>
      </c>
      <c r="CG73" s="461" t="str">
        <f t="shared" si="50"/>
        <v>нд</v>
      </c>
      <c r="CH73" s="460" t="s">
        <v>621</v>
      </c>
      <c r="CI73" s="460" t="s">
        <v>621</v>
      </c>
      <c r="CJ73" s="460">
        <v>0</v>
      </c>
      <c r="CK73" s="461" t="str">
        <f t="shared" si="51"/>
        <v>нд</v>
      </c>
      <c r="CL73" s="461">
        <f t="shared" si="52"/>
        <v>3.4</v>
      </c>
      <c r="CM73" s="460" t="s">
        <v>621</v>
      </c>
      <c r="CN73" s="460" t="s">
        <v>621</v>
      </c>
      <c r="CO73" s="461">
        <f>CJ73</f>
        <v>0</v>
      </c>
      <c r="CP73" s="461">
        <f t="shared" si="54"/>
        <v>3.4</v>
      </c>
      <c r="CQ73" s="460"/>
      <c r="CR73" s="253"/>
      <c r="CS73" s="561"/>
      <c r="CT73" s="563"/>
    </row>
    <row r="74" spans="1:98" ht="85.5" customHeight="1" x14ac:dyDescent="0.3">
      <c r="A74" s="1047" t="s">
        <v>741</v>
      </c>
      <c r="B74" s="1048" t="s">
        <v>1653</v>
      </c>
      <c r="C74" s="1049" t="s">
        <v>621</v>
      </c>
      <c r="D74" s="554"/>
      <c r="E74" s="554">
        <v>2021</v>
      </c>
      <c r="F74" s="554" t="s">
        <v>621</v>
      </c>
      <c r="G74" s="554">
        <v>2021</v>
      </c>
      <c r="H74" s="555">
        <v>15.81</v>
      </c>
      <c r="I74" s="555">
        <v>15.81</v>
      </c>
      <c r="J74" s="556">
        <v>44075</v>
      </c>
      <c r="K74" s="554">
        <v>15.81</v>
      </c>
      <c r="L74" s="554">
        <v>15.81</v>
      </c>
      <c r="M74" s="556">
        <v>44075</v>
      </c>
      <c r="N74" s="554" t="s">
        <v>621</v>
      </c>
      <c r="O74" s="554" t="s">
        <v>621</v>
      </c>
      <c r="P74" s="555">
        <v>15.81</v>
      </c>
      <c r="Q74" s="555">
        <v>16.39</v>
      </c>
      <c r="R74" s="1050">
        <f>K74</f>
        <v>15.81</v>
      </c>
      <c r="S74" s="1050">
        <v>16.39</v>
      </c>
      <c r="T74" s="555">
        <v>16.39</v>
      </c>
      <c r="U74" s="555">
        <v>16.39</v>
      </c>
      <c r="V74" s="555" t="str">
        <f t="shared" ref="V74:AI74" si="64">V75</f>
        <v>нд</v>
      </c>
      <c r="W74" s="555" t="str">
        <f t="shared" si="64"/>
        <v>нд</v>
      </c>
      <c r="X74" s="555" t="str">
        <f t="shared" si="64"/>
        <v>нд</v>
      </c>
      <c r="Y74" s="555" t="str">
        <f t="shared" si="64"/>
        <v>нд</v>
      </c>
      <c r="Z74" s="555" t="str">
        <f t="shared" si="64"/>
        <v>нд</v>
      </c>
      <c r="AA74" s="555" t="str">
        <f t="shared" si="64"/>
        <v>нд</v>
      </c>
      <c r="AB74" s="555" t="str">
        <f t="shared" si="64"/>
        <v>нд</v>
      </c>
      <c r="AC74" s="555" t="str">
        <f t="shared" si="64"/>
        <v>нд</v>
      </c>
      <c r="AD74" s="555" t="str">
        <f>AD75</f>
        <v>нд</v>
      </c>
      <c r="AE74" s="555" t="str">
        <f t="shared" si="64"/>
        <v>нд</v>
      </c>
      <c r="AF74" s="555" t="str">
        <f t="shared" si="64"/>
        <v>нд</v>
      </c>
      <c r="AG74" s="555" t="str">
        <f t="shared" si="64"/>
        <v>нд</v>
      </c>
      <c r="AH74" s="555" t="str">
        <f t="shared" si="64"/>
        <v>нд</v>
      </c>
      <c r="AI74" s="555">
        <f t="shared" si="64"/>
        <v>0</v>
      </c>
      <c r="AJ74" s="554" t="s">
        <v>621</v>
      </c>
      <c r="AK74" s="554" t="s">
        <v>621</v>
      </c>
      <c r="AL74" s="554">
        <v>0</v>
      </c>
      <c r="AM74" s="554">
        <v>0</v>
      </c>
      <c r="AN74" s="554">
        <v>0</v>
      </c>
      <c r="AO74" s="554" t="str">
        <f>AO75</f>
        <v>нд</v>
      </c>
      <c r="AP74" s="554" t="str">
        <f>AP75</f>
        <v>нд</v>
      </c>
      <c r="AQ74" s="554">
        <f>AQ75</f>
        <v>0</v>
      </c>
      <c r="AR74" s="554">
        <f>AR75</f>
        <v>0</v>
      </c>
      <c r="AS74" s="555">
        <f>AX74</f>
        <v>16.39</v>
      </c>
      <c r="AT74" s="555" t="s">
        <v>621</v>
      </c>
      <c r="AU74" s="555" t="s">
        <v>621</v>
      </c>
      <c r="AV74" s="555">
        <v>0</v>
      </c>
      <c r="AW74" s="555">
        <f>BB74</f>
        <v>16.39</v>
      </c>
      <c r="AX74" s="554">
        <v>16.39</v>
      </c>
      <c r="AY74" s="554" t="s">
        <v>621</v>
      </c>
      <c r="AZ74" s="554" t="s">
        <v>621</v>
      </c>
      <c r="BA74" s="554">
        <v>0</v>
      </c>
      <c r="BB74" s="554">
        <v>16.39</v>
      </c>
      <c r="BC74" s="555">
        <f>BC75</f>
        <v>0</v>
      </c>
      <c r="BD74" s="555" t="s">
        <v>621</v>
      </c>
      <c r="BE74" s="555" t="s">
        <v>621</v>
      </c>
      <c r="BF74" s="555">
        <f>BF75</f>
        <v>0</v>
      </c>
      <c r="BG74" s="555">
        <f>BG75</f>
        <v>0</v>
      </c>
      <c r="BH74" s="554" t="s">
        <v>621</v>
      </c>
      <c r="BI74" s="554" t="s">
        <v>621</v>
      </c>
      <c r="BJ74" s="554" t="s">
        <v>621</v>
      </c>
      <c r="BK74" s="554" t="s">
        <v>621</v>
      </c>
      <c r="BL74" s="554" t="str">
        <f>BL75</f>
        <v>нд</v>
      </c>
      <c r="BM74" s="554" t="str">
        <f t="shared" ref="BM74:CO74" si="65">BM75</f>
        <v>нд</v>
      </c>
      <c r="BN74" s="554" t="str">
        <f t="shared" si="65"/>
        <v>нд</v>
      </c>
      <c r="BO74" s="554" t="str">
        <f t="shared" si="65"/>
        <v>нд</v>
      </c>
      <c r="BP74" s="554" t="str">
        <f t="shared" si="65"/>
        <v>нд</v>
      </c>
      <c r="BQ74" s="554" t="str">
        <f t="shared" si="65"/>
        <v>нд</v>
      </c>
      <c r="BR74" s="554">
        <f t="shared" si="65"/>
        <v>0</v>
      </c>
      <c r="BS74" s="554" t="str">
        <f t="shared" si="65"/>
        <v>нд</v>
      </c>
      <c r="BT74" s="554" t="str">
        <f t="shared" si="65"/>
        <v>нд</v>
      </c>
      <c r="BU74" s="554">
        <f t="shared" si="65"/>
        <v>0</v>
      </c>
      <c r="BV74" s="554" t="str">
        <f t="shared" si="65"/>
        <v>нд</v>
      </c>
      <c r="BW74" s="554">
        <f t="shared" si="65"/>
        <v>0</v>
      </c>
      <c r="BX74" s="554" t="s">
        <v>621</v>
      </c>
      <c r="BY74" s="554" t="str">
        <f t="shared" si="65"/>
        <v>нд</v>
      </c>
      <c r="BZ74" s="554" t="str">
        <f t="shared" si="65"/>
        <v>нд</v>
      </c>
      <c r="CA74" s="554">
        <f t="shared" si="65"/>
        <v>0</v>
      </c>
      <c r="CB74" s="554">
        <f t="shared" si="65"/>
        <v>0</v>
      </c>
      <c r="CC74" s="554" t="str">
        <f t="shared" si="65"/>
        <v>нд</v>
      </c>
      <c r="CD74" s="554" t="str">
        <f t="shared" si="65"/>
        <v>нд</v>
      </c>
      <c r="CE74" s="554" t="str">
        <f t="shared" si="65"/>
        <v>нд</v>
      </c>
      <c r="CF74" s="554" t="str">
        <f t="shared" si="65"/>
        <v>нд</v>
      </c>
      <c r="CG74" s="554">
        <v>16.39</v>
      </c>
      <c r="CH74" s="554" t="str">
        <f t="shared" si="65"/>
        <v>нд</v>
      </c>
      <c r="CI74" s="554" t="str">
        <f t="shared" si="65"/>
        <v>нд</v>
      </c>
      <c r="CJ74" s="554" t="str">
        <f t="shared" si="65"/>
        <v>нд</v>
      </c>
      <c r="CK74" s="554">
        <v>16.39</v>
      </c>
      <c r="CL74" s="554">
        <v>16.39</v>
      </c>
      <c r="CM74" s="554" t="str">
        <f t="shared" si="65"/>
        <v>нд</v>
      </c>
      <c r="CN74" s="554" t="str">
        <f t="shared" si="65"/>
        <v>нд</v>
      </c>
      <c r="CO74" s="554" t="str">
        <f t="shared" si="65"/>
        <v>нд</v>
      </c>
      <c r="CP74" s="1051">
        <f>S74</f>
        <v>16.39</v>
      </c>
      <c r="CQ74" s="554"/>
    </row>
    <row r="75" spans="1:98" ht="88.5" customHeight="1" x14ac:dyDescent="0.3">
      <c r="A75" s="462" t="s">
        <v>1655</v>
      </c>
      <c r="B75" s="658" t="s">
        <v>1654</v>
      </c>
      <c r="C75" s="659" t="str">
        <f>CONCATENATE("J","_",2021,"_",A75)</f>
        <v>J_2021_1.6.1.</v>
      </c>
      <c r="D75" s="660"/>
      <c r="E75" s="660">
        <v>2021</v>
      </c>
      <c r="F75" s="660" t="s">
        <v>621</v>
      </c>
      <c r="G75" s="660">
        <v>2021</v>
      </c>
      <c r="H75" s="558">
        <v>15.81</v>
      </c>
      <c r="I75" s="558">
        <v>15.81</v>
      </c>
      <c r="J75" s="559">
        <v>44075</v>
      </c>
      <c r="K75" s="660">
        <v>15.81</v>
      </c>
      <c r="L75" s="660">
        <v>15.81</v>
      </c>
      <c r="M75" s="471">
        <v>44075</v>
      </c>
      <c r="N75" s="460" t="s">
        <v>621</v>
      </c>
      <c r="O75" s="460" t="s">
        <v>621</v>
      </c>
      <c r="P75" s="461">
        <v>15.81</v>
      </c>
      <c r="Q75" s="461">
        <v>16.39</v>
      </c>
      <c r="R75" s="460">
        <f>K75</f>
        <v>15.81</v>
      </c>
      <c r="S75" s="460">
        <v>16.39</v>
      </c>
      <c r="T75" s="461">
        <v>16.39</v>
      </c>
      <c r="U75" s="661">
        <v>16.39</v>
      </c>
      <c r="V75" s="460" t="s">
        <v>621</v>
      </c>
      <c r="W75" s="460" t="s">
        <v>621</v>
      </c>
      <c r="X75" s="460" t="s">
        <v>621</v>
      </c>
      <c r="Y75" s="460" t="s">
        <v>621</v>
      </c>
      <c r="Z75" s="460" t="s">
        <v>621</v>
      </c>
      <c r="AA75" s="460" t="s">
        <v>621</v>
      </c>
      <c r="AB75" s="460" t="s">
        <v>621</v>
      </c>
      <c r="AC75" s="460" t="s">
        <v>621</v>
      </c>
      <c r="AD75" s="460" t="s">
        <v>621</v>
      </c>
      <c r="AE75" s="460" t="s">
        <v>621</v>
      </c>
      <c r="AF75" s="460" t="s">
        <v>621</v>
      </c>
      <c r="AG75" s="460" t="s">
        <v>621</v>
      </c>
      <c r="AH75" s="460" t="s">
        <v>621</v>
      </c>
      <c r="AI75" s="460">
        <v>0</v>
      </c>
      <c r="AJ75" s="460" t="s">
        <v>621</v>
      </c>
      <c r="AK75" s="460" t="s">
        <v>621</v>
      </c>
      <c r="AL75" s="460">
        <v>0</v>
      </c>
      <c r="AM75" s="660">
        <v>0</v>
      </c>
      <c r="AN75" s="660">
        <v>0</v>
      </c>
      <c r="AO75" s="660" t="s">
        <v>621</v>
      </c>
      <c r="AP75" s="660" t="s">
        <v>621</v>
      </c>
      <c r="AQ75" s="660">
        <v>0</v>
      </c>
      <c r="AR75" s="660">
        <v>0</v>
      </c>
      <c r="AS75" s="918">
        <f>AX75</f>
        <v>16.39</v>
      </c>
      <c r="AT75" s="918" t="s">
        <v>621</v>
      </c>
      <c r="AU75" s="918" t="s">
        <v>621</v>
      </c>
      <c r="AV75" s="918">
        <v>0</v>
      </c>
      <c r="AW75" s="461">
        <f>BB75</f>
        <v>16.39</v>
      </c>
      <c r="AX75" s="460">
        <v>16.39</v>
      </c>
      <c r="AY75" s="1115" t="s">
        <v>621</v>
      </c>
      <c r="AZ75" s="1115" t="s">
        <v>621</v>
      </c>
      <c r="BA75" s="1115">
        <v>0</v>
      </c>
      <c r="BB75" s="1115">
        <v>16.39</v>
      </c>
      <c r="BC75" s="1115">
        <v>0</v>
      </c>
      <c r="BD75" s="1115" t="s">
        <v>621</v>
      </c>
      <c r="BE75" s="1115" t="s">
        <v>621</v>
      </c>
      <c r="BF75" s="1115">
        <v>0</v>
      </c>
      <c r="BG75" s="1115">
        <v>0</v>
      </c>
      <c r="BH75" s="1115" t="s">
        <v>621</v>
      </c>
      <c r="BI75" s="1115" t="s">
        <v>621</v>
      </c>
      <c r="BJ75" s="1115" t="s">
        <v>621</v>
      </c>
      <c r="BK75" s="1115" t="s">
        <v>621</v>
      </c>
      <c r="BL75" s="1115" t="s">
        <v>621</v>
      </c>
      <c r="BM75" s="1115" t="s">
        <v>621</v>
      </c>
      <c r="BN75" s="659" t="s">
        <v>621</v>
      </c>
      <c r="BO75" s="659" t="s">
        <v>621</v>
      </c>
      <c r="BP75" s="659" t="s">
        <v>621</v>
      </c>
      <c r="BQ75" s="659" t="s">
        <v>621</v>
      </c>
      <c r="BR75" s="659">
        <v>0</v>
      </c>
      <c r="BS75" s="659" t="s">
        <v>621</v>
      </c>
      <c r="BT75" s="659" t="s">
        <v>621</v>
      </c>
      <c r="BU75" s="659">
        <v>0</v>
      </c>
      <c r="BV75" s="659" t="s">
        <v>621</v>
      </c>
      <c r="BW75" s="659">
        <v>0</v>
      </c>
      <c r="BX75" s="659" t="s">
        <v>621</v>
      </c>
      <c r="BY75" s="659" t="s">
        <v>621</v>
      </c>
      <c r="BZ75" s="659" t="s">
        <v>621</v>
      </c>
      <c r="CA75" s="659">
        <v>0</v>
      </c>
      <c r="CB75" s="659">
        <v>0</v>
      </c>
      <c r="CC75" s="659" t="s">
        <v>621</v>
      </c>
      <c r="CD75" s="659" t="s">
        <v>621</v>
      </c>
      <c r="CE75" s="659" t="s">
        <v>621</v>
      </c>
      <c r="CF75" s="659" t="s">
        <v>621</v>
      </c>
      <c r="CG75" s="659">
        <v>16.39</v>
      </c>
      <c r="CH75" s="659" t="s">
        <v>621</v>
      </c>
      <c r="CI75" s="659" t="s">
        <v>621</v>
      </c>
      <c r="CJ75" s="659" t="s">
        <v>621</v>
      </c>
      <c r="CK75" s="659">
        <v>16.39</v>
      </c>
      <c r="CL75" s="659">
        <v>16.39</v>
      </c>
      <c r="CM75" s="659" t="s">
        <v>621</v>
      </c>
      <c r="CN75" s="659" t="s">
        <v>621</v>
      </c>
      <c r="CO75" s="659" t="s">
        <v>621</v>
      </c>
      <c r="CP75" s="461">
        <f>S75</f>
        <v>16.39</v>
      </c>
      <c r="CQ75" s="660"/>
    </row>
    <row r="76" spans="1:98" ht="33.75" customHeight="1" x14ac:dyDescent="0.55000000000000004">
      <c r="A76" s="331"/>
      <c r="B76" s="331"/>
      <c r="C76" s="331"/>
      <c r="D76" s="331"/>
      <c r="E76" s="331"/>
      <c r="F76" s="331"/>
      <c r="G76" s="331"/>
      <c r="H76" s="331"/>
      <c r="I76" s="331"/>
      <c r="J76" s="331"/>
      <c r="K76" s="331"/>
      <c r="L76" s="331"/>
      <c r="M76" s="331"/>
      <c r="N76" s="331"/>
      <c r="O76" s="331"/>
      <c r="P76" s="331"/>
      <c r="Q76" s="331"/>
      <c r="R76" s="331"/>
      <c r="S76" s="331"/>
      <c r="T76" s="331"/>
      <c r="U76" s="331"/>
      <c r="V76" s="333"/>
      <c r="CE76" s="446"/>
    </row>
    <row r="77" spans="1:98" s="252" customFormat="1" ht="77.25" customHeight="1" x14ac:dyDescent="0.55000000000000004">
      <c r="AJ77" s="253"/>
      <c r="AK77" s="253"/>
      <c r="AL77" s="253"/>
      <c r="AY77" s="446"/>
      <c r="AZ77" s="446"/>
      <c r="BA77" s="446"/>
      <c r="BB77" s="446"/>
      <c r="BC77" s="446"/>
      <c r="BD77" s="446"/>
      <c r="BE77" s="446"/>
      <c r="BF77" s="446"/>
      <c r="BG77" s="446"/>
      <c r="BH77" s="446"/>
      <c r="BI77" s="446" t="s">
        <v>841</v>
      </c>
      <c r="BJ77" s="446"/>
      <c r="BK77" s="446"/>
      <c r="BL77" s="446"/>
      <c r="BM77" s="446"/>
      <c r="CJ77" s="446" t="s">
        <v>1652</v>
      </c>
    </row>
    <row r="78" spans="1:98" x14ac:dyDescent="0.3">
      <c r="B78" s="328"/>
      <c r="C78" s="328"/>
      <c r="D78" s="328"/>
      <c r="E78" s="328"/>
      <c r="F78" s="328"/>
      <c r="G78" s="328"/>
      <c r="H78" s="328"/>
      <c r="I78" s="328"/>
      <c r="J78" s="328"/>
      <c r="K78" s="328"/>
      <c r="L78" s="328"/>
      <c r="M78" s="328"/>
      <c r="N78" s="328"/>
      <c r="O78" s="328"/>
      <c r="P78" s="328"/>
      <c r="Q78" s="328"/>
      <c r="R78" s="328"/>
      <c r="S78" s="328"/>
      <c r="T78" s="328"/>
      <c r="U78" s="328"/>
      <c r="V78" s="328"/>
    </row>
    <row r="79" spans="1:98" x14ac:dyDescent="0.3">
      <c r="B79" s="332"/>
      <c r="C79" s="332"/>
      <c r="D79" s="332"/>
      <c r="E79" s="332"/>
      <c r="F79" s="332"/>
      <c r="G79" s="332"/>
      <c r="H79" s="332"/>
      <c r="I79" s="332"/>
      <c r="J79" s="332"/>
      <c r="K79" s="332"/>
      <c r="L79" s="332"/>
      <c r="M79" s="332"/>
      <c r="N79" s="332"/>
      <c r="O79" s="332"/>
      <c r="P79" s="332"/>
      <c r="Q79" s="332"/>
      <c r="R79" s="332"/>
      <c r="S79" s="332"/>
      <c r="T79" s="332"/>
      <c r="U79" s="332"/>
      <c r="V79" s="332"/>
    </row>
    <row r="80" spans="1:98" x14ac:dyDescent="0.3">
      <c r="B80" s="328"/>
      <c r="C80" s="328"/>
      <c r="D80" s="328"/>
      <c r="E80" s="328"/>
      <c r="F80" s="328"/>
      <c r="G80" s="328"/>
      <c r="H80" s="328"/>
      <c r="I80" s="328"/>
      <c r="J80" s="328"/>
      <c r="K80" s="328"/>
      <c r="L80" s="328"/>
      <c r="M80" s="328"/>
      <c r="N80" s="328"/>
      <c r="O80" s="328"/>
      <c r="P80" s="328"/>
      <c r="Q80" s="328"/>
      <c r="R80" s="328"/>
      <c r="S80" s="328"/>
      <c r="T80" s="328"/>
      <c r="U80" s="328"/>
      <c r="V80" s="328"/>
    </row>
    <row r="81" spans="2:38" x14ac:dyDescent="0.3">
      <c r="B81" s="329"/>
      <c r="C81" s="329"/>
      <c r="D81" s="329"/>
      <c r="E81" s="329"/>
      <c r="F81" s="329"/>
      <c r="G81" s="329"/>
      <c r="H81" s="329"/>
      <c r="I81" s="329"/>
      <c r="J81" s="329"/>
      <c r="K81" s="329"/>
      <c r="L81" s="329"/>
      <c r="M81" s="329"/>
      <c r="N81" s="329"/>
      <c r="O81" s="329"/>
      <c r="P81" s="329"/>
      <c r="Q81" s="329"/>
      <c r="R81" s="329"/>
      <c r="S81" s="329"/>
      <c r="T81" s="329"/>
      <c r="U81" s="329"/>
      <c r="V81" s="329"/>
    </row>
    <row r="82" spans="2:38" x14ac:dyDescent="0.3">
      <c r="B82" s="177"/>
      <c r="C82" s="311"/>
      <c r="D82" s="311"/>
      <c r="E82" s="311"/>
      <c r="F82" s="311"/>
      <c r="G82" s="311"/>
      <c r="H82" s="311"/>
      <c r="I82" s="311"/>
      <c r="J82" s="311"/>
      <c r="K82" s="311"/>
      <c r="L82" s="311"/>
    </row>
    <row r="83" spans="2:38" x14ac:dyDescent="0.3">
      <c r="B83" s="330"/>
      <c r="C83" s="330"/>
      <c r="D83" s="330"/>
      <c r="E83" s="330"/>
      <c r="F83" s="330"/>
      <c r="G83" s="330"/>
      <c r="H83" s="330"/>
      <c r="I83" s="330"/>
      <c r="J83" s="330"/>
      <c r="K83" s="330"/>
      <c r="L83" s="330"/>
      <c r="M83" s="330"/>
      <c r="N83" s="330"/>
      <c r="O83" s="330"/>
      <c r="P83" s="330"/>
      <c r="Q83" s="330"/>
      <c r="R83" s="330"/>
      <c r="S83" s="330"/>
      <c r="T83" s="330"/>
      <c r="U83" s="330"/>
      <c r="V83" s="330"/>
      <c r="W83" s="312"/>
      <c r="X83" s="312"/>
      <c r="Y83" s="312"/>
      <c r="Z83" s="312"/>
      <c r="AA83" s="312"/>
      <c r="AB83" s="312"/>
      <c r="AC83" s="312"/>
      <c r="AD83" s="312"/>
      <c r="AE83" s="312"/>
      <c r="AF83" s="312"/>
      <c r="AG83" s="312"/>
      <c r="AH83" s="312"/>
      <c r="AI83" s="133"/>
      <c r="AJ83" s="133"/>
      <c r="AK83" s="133"/>
      <c r="AL83" s="133"/>
    </row>
  </sheetData>
  <mergeCells count="34">
    <mergeCell ref="V14:X15"/>
    <mergeCell ref="Y14:AH14"/>
    <mergeCell ref="H15:J15"/>
    <mergeCell ref="K15:M15"/>
    <mergeCell ref="P15:Q15"/>
    <mergeCell ref="R15:S15"/>
    <mergeCell ref="Y15:AC15"/>
    <mergeCell ref="AD15:AH15"/>
    <mergeCell ref="H14:M14"/>
    <mergeCell ref="N14:N16"/>
    <mergeCell ref="O14:O16"/>
    <mergeCell ref="P14:S14"/>
    <mergeCell ref="T14:U15"/>
    <mergeCell ref="AX3:CE3"/>
    <mergeCell ref="BW15:CA15"/>
    <mergeCell ref="CB15:CF15"/>
    <mergeCell ref="BM15:BQ15"/>
    <mergeCell ref="BR15:BV15"/>
    <mergeCell ref="AN15:AR15"/>
    <mergeCell ref="BC15:BG15"/>
    <mergeCell ref="BH15:BL15"/>
    <mergeCell ref="CQ14:CQ16"/>
    <mergeCell ref="A14:A16"/>
    <mergeCell ref="CL15:CP15"/>
    <mergeCell ref="AI14:CP14"/>
    <mergeCell ref="AX15:BB15"/>
    <mergeCell ref="AS15:AW15"/>
    <mergeCell ref="CG15:CK15"/>
    <mergeCell ref="AI15:AM15"/>
    <mergeCell ref="B14:B16"/>
    <mergeCell ref="C14:C16"/>
    <mergeCell ref="D14:D16"/>
    <mergeCell ref="E14:E16"/>
    <mergeCell ref="F14:G15"/>
  </mergeCells>
  <phoneticPr fontId="18" type="noConversion"/>
  <pageMargins left="0.31496062992125984" right="0" top="0" bottom="0" header="0.31496062992125984" footer="0.31496062992125984"/>
  <pageSetup paperSize="8" scale="21" fitToWidth="2" fitToHeight="2" orientation="landscape" r:id="rId1"/>
  <headerFooter differentFirst="1">
    <oddHeader>&amp;C&amp;P</oddHeader>
  </headerFooter>
  <colBreaks count="1" manualBreakCount="1">
    <brk id="74" max="7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V83"/>
  <sheetViews>
    <sheetView topLeftCell="A13" zoomScale="40" zoomScaleNormal="40" zoomScaleSheetLayoutView="55" workbookViewId="0">
      <pane xSplit="2" ySplit="5" topLeftCell="P54" activePane="bottomRight" state="frozen"/>
      <selection activeCell="A13" sqref="A13"/>
      <selection pane="topRight" activeCell="C13" sqref="C13"/>
      <selection pane="bottomLeft" activeCell="A18" sqref="A18"/>
      <selection pane="bottomRight" activeCell="AW16" sqref="AW16"/>
    </sheetView>
  </sheetViews>
  <sheetFormatPr defaultRowHeight="20.25" x14ac:dyDescent="0.3"/>
  <cols>
    <col min="1" max="1" width="14.625" style="133" customWidth="1"/>
    <col min="2" max="2" width="50.375" style="133" customWidth="1"/>
    <col min="3" max="3" width="28.75" style="133" customWidth="1"/>
    <col min="4" max="4" width="7.625" style="133" customWidth="1"/>
    <col min="5" max="5" width="10.5" style="133" customWidth="1"/>
    <col min="6" max="6" width="13" style="133" customWidth="1"/>
    <col min="7" max="7" width="14.375" style="133" customWidth="1"/>
    <col min="8" max="8" width="16" style="133" customWidth="1"/>
    <col min="9" max="10" width="19" style="133" customWidth="1"/>
    <col min="11" max="11" width="15.5" style="133" customWidth="1"/>
    <col min="12" max="12" width="14.875" style="132" customWidth="1"/>
    <col min="13" max="13" width="14.25" style="132" customWidth="1"/>
    <col min="14" max="14" width="16" style="132" customWidth="1"/>
    <col min="15" max="15" width="13.25" style="132" customWidth="1"/>
    <col min="16" max="16" width="14.5" style="132" customWidth="1"/>
    <col min="17" max="18" width="12.375" style="132" customWidth="1"/>
    <col min="19" max="19" width="12.75" style="132" customWidth="1"/>
    <col min="20" max="20" width="12.5" style="132" customWidth="1"/>
    <col min="21" max="21" width="11.25" style="132" customWidth="1"/>
    <col min="22" max="22" width="12.375" style="132" customWidth="1"/>
    <col min="23" max="23" width="11.75" style="132" customWidth="1"/>
    <col min="24" max="24" width="12.25" style="132" customWidth="1"/>
    <col min="25" max="25" width="13.75" style="132" customWidth="1"/>
    <col min="26" max="26" width="15.375" style="132" customWidth="1"/>
    <col min="27" max="27" width="14.125" style="132" customWidth="1"/>
    <col min="28" max="28" width="15.875" style="132" customWidth="1"/>
    <col min="29" max="29" width="17.875" style="132" customWidth="1"/>
    <col min="30" max="30" width="16.625" style="132" customWidth="1"/>
    <col min="31" max="31" width="19.375" style="132" customWidth="1"/>
    <col min="32" max="32" width="16.625" style="132" customWidth="1"/>
    <col min="33" max="33" width="17.875" style="132" customWidth="1"/>
    <col min="34" max="40" width="16.625" style="132" customWidth="1"/>
    <col min="41" max="41" width="23" style="132" customWidth="1"/>
    <col min="42" max="42" width="7.25" style="132" customWidth="1"/>
    <col min="43" max="43" width="14" style="518" customWidth="1"/>
    <col min="44" max="44" width="14.375" style="519" customWidth="1"/>
    <col min="45" max="45" width="10.375" style="520" customWidth="1"/>
    <col min="46" max="46" width="8.375" style="520" customWidth="1"/>
    <col min="47" max="47" width="15.625" style="520" customWidth="1"/>
    <col min="48" max="48" width="9.5" style="520" customWidth="1"/>
    <col min="49" max="49" width="10" style="520" customWidth="1"/>
    <col min="50" max="50" width="15.5" style="520" customWidth="1"/>
    <col min="51" max="51" width="6.75" style="520" customWidth="1"/>
    <col min="52" max="52" width="9" style="520" customWidth="1"/>
    <col min="53" max="53" width="9.625" style="520" customWidth="1"/>
    <col min="54" max="54" width="6.75" style="520" customWidth="1"/>
    <col min="55" max="55" width="12.875" style="520" customWidth="1"/>
    <col min="56" max="56" width="7.375" style="520" customWidth="1"/>
    <col min="57" max="63" width="7.25" style="520" customWidth="1"/>
    <col min="64" max="64" width="8.625" style="520" customWidth="1"/>
    <col min="65" max="65" width="6.125" style="520" customWidth="1"/>
    <col min="66" max="66" width="6.875" style="520" customWidth="1"/>
    <col min="67" max="67" width="9.625" style="520" customWidth="1"/>
    <col min="68" max="68" width="6.75" style="133" customWidth="1"/>
    <col min="69" max="69" width="7.75" style="133" customWidth="1"/>
    <col min="70" max="16384" width="9" style="133"/>
  </cols>
  <sheetData>
    <row r="1" spans="1:74" x14ac:dyDescent="0.3">
      <c r="A1" s="132"/>
      <c r="B1" s="132"/>
      <c r="C1" s="132"/>
      <c r="D1" s="132"/>
      <c r="E1" s="132"/>
      <c r="F1" s="132"/>
      <c r="G1" s="132"/>
      <c r="H1" s="132"/>
      <c r="I1" s="132"/>
      <c r="J1" s="132"/>
      <c r="K1" s="132"/>
      <c r="Z1" s="138" t="s">
        <v>325</v>
      </c>
      <c r="AS1" s="518"/>
      <c r="AT1" s="518"/>
      <c r="AU1" s="518"/>
      <c r="AV1" s="518"/>
      <c r="AW1" s="518"/>
    </row>
    <row r="2" spans="1:74" x14ac:dyDescent="0.3">
      <c r="A2" s="132"/>
      <c r="B2" s="132"/>
      <c r="C2" s="132"/>
      <c r="D2" s="132"/>
      <c r="E2" s="132"/>
      <c r="F2" s="132"/>
      <c r="G2" s="132"/>
      <c r="H2" s="132"/>
      <c r="I2" s="132"/>
      <c r="J2" s="132"/>
      <c r="K2" s="132"/>
      <c r="Z2" s="140" t="s">
        <v>1</v>
      </c>
      <c r="AS2" s="518"/>
      <c r="AT2" s="518"/>
      <c r="AU2" s="518"/>
      <c r="AV2" s="518"/>
      <c r="AW2" s="518"/>
    </row>
    <row r="3" spans="1:74" x14ac:dyDescent="0.3">
      <c r="A3" s="132"/>
      <c r="B3" s="132"/>
      <c r="C3" s="132"/>
      <c r="D3" s="132"/>
      <c r="E3" s="132"/>
      <c r="F3" s="132"/>
      <c r="G3" s="132"/>
      <c r="H3" s="132"/>
      <c r="I3" s="132"/>
      <c r="J3" s="132"/>
      <c r="K3" s="132"/>
      <c r="Z3" s="140" t="s">
        <v>265</v>
      </c>
      <c r="AN3" s="133"/>
      <c r="AS3" s="518"/>
      <c r="AT3" s="518"/>
      <c r="AU3" s="518"/>
      <c r="AV3" s="518"/>
      <c r="AW3" s="518"/>
    </row>
    <row r="4" spans="1:74" x14ac:dyDescent="0.3">
      <c r="A4" s="1157" t="s">
        <v>393</v>
      </c>
      <c r="B4" s="1157"/>
      <c r="C4" s="1157"/>
      <c r="D4" s="1157"/>
      <c r="E4" s="1157"/>
      <c r="F4" s="1157"/>
      <c r="G4" s="1157"/>
      <c r="H4" s="1157"/>
      <c r="I4" s="1157"/>
      <c r="J4" s="1157"/>
      <c r="K4" s="1157"/>
      <c r="L4" s="1157"/>
      <c r="M4" s="1157"/>
      <c r="N4" s="1157"/>
      <c r="O4" s="1157"/>
      <c r="P4" s="1157"/>
      <c r="Q4" s="1157"/>
      <c r="R4" s="1157"/>
      <c r="S4" s="1157"/>
      <c r="T4" s="1157"/>
      <c r="U4" s="178"/>
      <c r="V4" s="178"/>
      <c r="W4" s="178"/>
      <c r="X4" s="178"/>
      <c r="Y4" s="178"/>
      <c r="Z4" s="178"/>
      <c r="AA4" s="178"/>
      <c r="AB4" s="1157" t="s">
        <v>851</v>
      </c>
      <c r="AC4" s="1157"/>
      <c r="AD4" s="1157"/>
      <c r="AE4" s="1157"/>
      <c r="AF4" s="1157"/>
      <c r="AG4" s="1157"/>
      <c r="AH4" s="1157"/>
      <c r="AI4" s="1157"/>
      <c r="AJ4" s="1157"/>
      <c r="AK4" s="1157"/>
      <c r="AL4" s="1157"/>
      <c r="AM4" s="1157"/>
      <c r="AN4" s="1157"/>
      <c r="AO4" s="1157"/>
      <c r="AP4" s="1157"/>
      <c r="AQ4" s="1157"/>
      <c r="AR4" s="1157"/>
      <c r="AS4" s="1157"/>
      <c r="AT4" s="1157"/>
      <c r="AU4" s="1157"/>
      <c r="AV4" s="518"/>
      <c r="AW4" s="518"/>
    </row>
    <row r="5" spans="1:74" x14ac:dyDescent="0.3">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78"/>
      <c r="AQ5" s="521"/>
      <c r="AR5" s="522"/>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178"/>
      <c r="BQ5" s="178"/>
      <c r="BR5" s="178"/>
      <c r="BS5" s="178"/>
      <c r="BT5" s="178"/>
    </row>
    <row r="6" spans="1:74" s="129" customFormat="1" ht="21.75" customHeight="1" x14ac:dyDescent="0.3">
      <c r="A6" s="1158" t="s">
        <v>842</v>
      </c>
      <c r="B6" s="1158"/>
      <c r="C6" s="1158"/>
      <c r="D6" s="1158"/>
      <c r="E6" s="1158"/>
      <c r="F6" s="1158"/>
      <c r="G6" s="1158"/>
      <c r="H6" s="1158"/>
      <c r="I6" s="1158"/>
      <c r="J6" s="1158"/>
      <c r="K6" s="1158"/>
      <c r="L6" s="1158"/>
      <c r="M6" s="1158"/>
      <c r="N6" s="1158"/>
      <c r="O6" s="1158"/>
      <c r="P6" s="1158"/>
      <c r="Q6" s="1158"/>
      <c r="R6" s="1158"/>
      <c r="S6" s="1158"/>
      <c r="T6" s="1158"/>
      <c r="U6" s="143"/>
      <c r="V6" s="143"/>
      <c r="W6" s="143"/>
      <c r="X6" s="143"/>
      <c r="Y6" s="143"/>
      <c r="Z6" s="143"/>
      <c r="AA6" s="143"/>
      <c r="AB6" s="143"/>
      <c r="AC6" s="143"/>
      <c r="AD6" s="143"/>
      <c r="AE6" s="143"/>
      <c r="AF6" s="143"/>
      <c r="AG6" s="143"/>
      <c r="AH6" s="143"/>
      <c r="AI6" s="143"/>
      <c r="AJ6" s="143"/>
      <c r="AK6" s="143"/>
      <c r="AL6" s="143"/>
      <c r="AM6" s="143"/>
      <c r="AN6" s="143"/>
      <c r="AO6" s="143"/>
      <c r="AP6" s="143"/>
      <c r="AQ6" s="523"/>
      <c r="AR6" s="524"/>
      <c r="AS6" s="523"/>
      <c r="AT6" s="523"/>
      <c r="AU6" s="523"/>
      <c r="AV6" s="523"/>
      <c r="AW6" s="523"/>
      <c r="AX6" s="525"/>
      <c r="AY6" s="525"/>
      <c r="AZ6" s="525"/>
      <c r="BA6" s="525"/>
      <c r="BB6" s="525"/>
      <c r="BC6" s="525"/>
      <c r="BD6" s="525"/>
      <c r="BE6" s="525"/>
      <c r="BF6" s="525"/>
      <c r="BG6" s="525"/>
      <c r="BH6" s="525"/>
      <c r="BI6" s="525"/>
      <c r="BJ6" s="525"/>
      <c r="BK6" s="525"/>
      <c r="BL6" s="525"/>
      <c r="BM6" s="525"/>
      <c r="BN6" s="525"/>
      <c r="BO6" s="525"/>
    </row>
    <row r="7" spans="1:74" s="129" customFormat="1" ht="33.75" customHeight="1" x14ac:dyDescent="0.3">
      <c r="A7" s="1159" t="s">
        <v>313</v>
      </c>
      <c r="B7" s="1159"/>
      <c r="C7" s="1159"/>
      <c r="D7" s="1159"/>
      <c r="E7" s="1159"/>
      <c r="F7" s="1159"/>
      <c r="G7" s="1159"/>
      <c r="H7" s="1159"/>
      <c r="I7" s="1159"/>
      <c r="J7" s="1159"/>
      <c r="K7" s="1159"/>
      <c r="L7" s="1159"/>
      <c r="M7" s="1159"/>
      <c r="N7" s="1159"/>
      <c r="O7" s="1159"/>
      <c r="P7" s="1159"/>
      <c r="Q7" s="1159"/>
      <c r="R7" s="1159"/>
      <c r="S7" s="1159"/>
      <c r="T7" s="1159"/>
      <c r="U7" s="164"/>
      <c r="V7" s="164"/>
      <c r="W7" s="164"/>
      <c r="X7" s="164"/>
      <c r="Y7" s="164"/>
      <c r="Z7" s="164"/>
      <c r="AA7" s="164"/>
      <c r="AB7" s="164"/>
      <c r="AC7" s="164"/>
      <c r="AD7" s="164"/>
      <c r="AE7" s="164"/>
      <c r="AF7" s="164"/>
      <c r="AG7" s="164"/>
      <c r="AH7" s="164"/>
      <c r="AI7" s="164"/>
      <c r="AJ7" s="164"/>
      <c r="AK7" s="164"/>
      <c r="AL7" s="164"/>
      <c r="AM7" s="164"/>
      <c r="AN7" s="164"/>
      <c r="AO7" s="164"/>
      <c r="AP7" s="164"/>
      <c r="AQ7" s="526"/>
      <c r="AR7" s="527"/>
      <c r="AS7" s="526"/>
      <c r="AT7" s="526"/>
      <c r="AU7" s="526"/>
      <c r="AV7" s="526"/>
      <c r="AW7" s="526"/>
      <c r="AX7" s="525"/>
      <c r="AY7" s="525"/>
      <c r="AZ7" s="525"/>
      <c r="BA7" s="525"/>
      <c r="BB7" s="525"/>
      <c r="BC7" s="525"/>
      <c r="BD7" s="525"/>
      <c r="BE7" s="525"/>
      <c r="BF7" s="525"/>
      <c r="BG7" s="525"/>
      <c r="BH7" s="525"/>
      <c r="BI7" s="525"/>
      <c r="BJ7" s="525"/>
      <c r="BK7" s="525"/>
      <c r="BL7" s="525"/>
      <c r="BM7" s="525"/>
      <c r="BN7" s="525"/>
      <c r="BO7" s="525"/>
    </row>
    <row r="8" spans="1:74" s="129" customFormat="1" ht="14.25" customHeight="1" x14ac:dyDescent="0.3">
      <c r="AQ8" s="525"/>
      <c r="AR8" s="528"/>
      <c r="AS8" s="525"/>
      <c r="AT8" s="525"/>
      <c r="AU8" s="525"/>
      <c r="AV8" s="525"/>
      <c r="AW8" s="525"/>
      <c r="AX8" s="525"/>
      <c r="AY8" s="525"/>
      <c r="AZ8" s="525"/>
      <c r="BA8" s="525"/>
      <c r="BB8" s="525"/>
      <c r="BC8" s="525"/>
      <c r="BD8" s="525"/>
      <c r="BE8" s="525"/>
      <c r="BF8" s="525"/>
      <c r="BG8" s="525"/>
      <c r="BH8" s="525"/>
      <c r="BI8" s="525"/>
      <c r="BJ8" s="525"/>
      <c r="BK8" s="525"/>
      <c r="BL8" s="525"/>
      <c r="BM8" s="525"/>
      <c r="BN8" s="525"/>
      <c r="BO8" s="525"/>
    </row>
    <row r="9" spans="1:74" s="129" customFormat="1" ht="27" customHeight="1" x14ac:dyDescent="0.3">
      <c r="A9" s="1158" t="s">
        <v>938</v>
      </c>
      <c r="B9" s="1158"/>
      <c r="C9" s="1158"/>
      <c r="D9" s="1158"/>
      <c r="E9" s="1158"/>
      <c r="F9" s="1158"/>
      <c r="G9" s="1158"/>
      <c r="H9" s="1158"/>
      <c r="I9" s="1158"/>
      <c r="J9" s="1158"/>
      <c r="K9" s="1158"/>
      <c r="L9" s="1158"/>
      <c r="M9" s="1158"/>
      <c r="N9" s="1158"/>
      <c r="O9" s="1158"/>
      <c r="P9" s="1158"/>
      <c r="Q9" s="1158"/>
      <c r="R9" s="1158"/>
      <c r="S9" s="1158"/>
      <c r="T9" s="1158"/>
      <c r="U9" s="143"/>
      <c r="V9" s="143"/>
      <c r="W9" s="143"/>
      <c r="X9" s="143"/>
      <c r="Y9" s="143"/>
      <c r="Z9" s="143"/>
      <c r="AA9" s="143"/>
      <c r="AB9" s="143"/>
      <c r="AC9" s="143"/>
      <c r="AD9" s="143"/>
      <c r="AE9" s="143"/>
      <c r="AF9" s="143"/>
      <c r="AG9" s="143"/>
      <c r="AH9" s="143"/>
      <c r="AI9" s="143"/>
      <c r="AJ9" s="143"/>
      <c r="AK9" s="143"/>
      <c r="AL9" s="143"/>
      <c r="AM9" s="143"/>
      <c r="AN9" s="143"/>
      <c r="AO9" s="143"/>
      <c r="AP9" s="143"/>
      <c r="AQ9" s="523"/>
      <c r="AR9" s="524"/>
      <c r="AS9" s="523"/>
      <c r="AT9" s="523"/>
      <c r="AU9" s="523"/>
      <c r="AV9" s="523"/>
      <c r="AW9" s="523"/>
      <c r="AX9" s="525"/>
      <c r="AY9" s="525"/>
      <c r="AZ9" s="525"/>
      <c r="BA9" s="525"/>
      <c r="BB9" s="525"/>
      <c r="BC9" s="525"/>
      <c r="BD9" s="525"/>
      <c r="BE9" s="525"/>
      <c r="BF9" s="525"/>
      <c r="BG9" s="525"/>
      <c r="BH9" s="525"/>
      <c r="BI9" s="525"/>
      <c r="BJ9" s="525"/>
      <c r="BK9" s="525"/>
      <c r="BL9" s="525"/>
      <c r="BM9" s="525"/>
      <c r="BN9" s="525"/>
      <c r="BO9" s="525"/>
    </row>
    <row r="10" spans="1:74" x14ac:dyDescent="0.3">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78"/>
      <c r="AQ10" s="521"/>
      <c r="AR10" s="522"/>
      <c r="AS10" s="521"/>
      <c r="AT10" s="521"/>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178"/>
      <c r="BQ10" s="178"/>
      <c r="BR10" s="178"/>
      <c r="BS10" s="178"/>
    </row>
    <row r="11" spans="1:74" ht="33.75" customHeight="1" x14ac:dyDescent="0.3">
      <c r="A11" s="1160" t="s">
        <v>942</v>
      </c>
      <c r="B11" s="1160"/>
      <c r="C11" s="1160"/>
      <c r="D11" s="1160"/>
      <c r="E11" s="1160"/>
      <c r="F11" s="1160"/>
      <c r="G11" s="1160"/>
      <c r="H11" s="1160"/>
      <c r="I11" s="1160"/>
      <c r="J11" s="1160"/>
      <c r="K11" s="1160"/>
      <c r="L11" s="1160"/>
      <c r="M11" s="1160"/>
      <c r="N11" s="1160"/>
      <c r="O11" s="1160"/>
      <c r="P11" s="1160"/>
      <c r="Q11" s="1160"/>
      <c r="R11" s="1160"/>
      <c r="S11" s="1160"/>
      <c r="T11" s="1160"/>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529"/>
      <c r="AR11" s="530"/>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142"/>
      <c r="BQ11" s="142"/>
      <c r="BR11" s="142"/>
      <c r="BS11" s="142"/>
      <c r="BT11" s="142"/>
      <c r="BU11" s="142"/>
      <c r="BV11" s="142"/>
    </row>
    <row r="12" spans="1:74" x14ac:dyDescent="0.3">
      <c r="A12" s="1160" t="s">
        <v>665</v>
      </c>
      <c r="B12" s="1160"/>
      <c r="C12" s="1160"/>
      <c r="D12" s="1160"/>
      <c r="E12" s="1160"/>
      <c r="F12" s="1160"/>
      <c r="G12" s="1160"/>
      <c r="H12" s="1160"/>
      <c r="I12" s="1160"/>
      <c r="J12" s="1160"/>
      <c r="K12" s="1160"/>
      <c r="L12" s="1160"/>
      <c r="M12" s="1160"/>
      <c r="N12" s="1160"/>
      <c r="O12" s="1160"/>
      <c r="P12" s="1160"/>
      <c r="Q12" s="1160"/>
      <c r="R12" s="1160"/>
      <c r="S12" s="1160"/>
      <c r="T12" s="1160"/>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529"/>
      <c r="AR12" s="530"/>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142"/>
      <c r="BQ12" s="142"/>
      <c r="BR12" s="142"/>
      <c r="BS12" s="142"/>
      <c r="BT12" s="142"/>
      <c r="BU12" s="142"/>
      <c r="BV12" s="142"/>
    </row>
    <row r="13" spans="1:74" ht="15.75" customHeight="1" x14ac:dyDescent="0.3">
      <c r="A13" s="1161"/>
      <c r="B13" s="1161"/>
      <c r="C13" s="1161"/>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1161"/>
      <c r="AK13" s="1161"/>
      <c r="AL13" s="1161"/>
      <c r="AM13" s="1161"/>
      <c r="AN13" s="1161"/>
      <c r="AO13" s="179"/>
      <c r="AS13" s="518"/>
      <c r="AT13" s="518"/>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132"/>
      <c r="BQ13" s="132"/>
    </row>
    <row r="14" spans="1:74" ht="72.75" customHeight="1" x14ac:dyDescent="0.3">
      <c r="A14" s="1162" t="s">
        <v>179</v>
      </c>
      <c r="B14" s="1162" t="s">
        <v>31</v>
      </c>
      <c r="C14" s="1162" t="s">
        <v>4</v>
      </c>
      <c r="D14" s="1175" t="s">
        <v>180</v>
      </c>
      <c r="E14" s="1175" t="s">
        <v>184</v>
      </c>
      <c r="F14" s="1162" t="s">
        <v>185</v>
      </c>
      <c r="G14" s="1162"/>
      <c r="H14" s="1171" t="s">
        <v>844</v>
      </c>
      <c r="I14" s="1171"/>
      <c r="J14" s="1168" t="s">
        <v>752</v>
      </c>
      <c r="K14" s="1172" t="s">
        <v>211</v>
      </c>
      <c r="L14" s="1173"/>
      <c r="M14" s="1173"/>
      <c r="N14" s="1173"/>
      <c r="O14" s="1173"/>
      <c r="P14" s="1173"/>
      <c r="Q14" s="1173"/>
      <c r="R14" s="1173"/>
      <c r="S14" s="1173"/>
      <c r="T14" s="1174"/>
      <c r="U14" s="1172" t="s">
        <v>210</v>
      </c>
      <c r="V14" s="1173"/>
      <c r="W14" s="1173"/>
      <c r="X14" s="1173"/>
      <c r="Y14" s="1173"/>
      <c r="Z14" s="1174"/>
      <c r="AA14" s="1163" t="s">
        <v>417</v>
      </c>
      <c r="AB14" s="1164"/>
      <c r="AC14" s="1162" t="s">
        <v>511</v>
      </c>
      <c r="AD14" s="1162"/>
      <c r="AE14" s="1162"/>
      <c r="AF14" s="1162"/>
      <c r="AG14" s="1162"/>
      <c r="AH14" s="1162"/>
      <c r="AI14" s="1162"/>
      <c r="AJ14" s="1162"/>
      <c r="AK14" s="1162"/>
      <c r="AL14" s="1162"/>
      <c r="AM14" s="1162"/>
      <c r="AN14" s="1162"/>
      <c r="AO14" s="1162" t="s">
        <v>407</v>
      </c>
      <c r="AS14" s="518"/>
      <c r="AT14" s="518"/>
      <c r="AU14" s="518"/>
      <c r="AV14" s="518"/>
      <c r="AW14" s="518"/>
      <c r="AX14" s="518"/>
      <c r="AY14" s="518"/>
      <c r="AZ14" s="518"/>
      <c r="BA14" s="518"/>
      <c r="BB14" s="518"/>
      <c r="BC14" s="518"/>
      <c r="BD14" s="518"/>
      <c r="BE14" s="518"/>
      <c r="BF14" s="518"/>
      <c r="BG14" s="518"/>
      <c r="BH14" s="518"/>
      <c r="BI14" s="518"/>
      <c r="BJ14" s="518"/>
      <c r="BK14" s="518"/>
      <c r="BL14" s="518"/>
      <c r="BM14" s="518"/>
      <c r="BN14" s="518"/>
      <c r="BO14" s="518"/>
      <c r="BP14" s="132"/>
      <c r="BQ14" s="132"/>
    </row>
    <row r="15" spans="1:74" ht="102.75" customHeight="1" x14ac:dyDescent="0.3">
      <c r="A15" s="1162"/>
      <c r="B15" s="1162"/>
      <c r="C15" s="1162"/>
      <c r="D15" s="1175"/>
      <c r="E15" s="1175"/>
      <c r="F15" s="1162"/>
      <c r="G15" s="1162"/>
      <c r="H15" s="1171"/>
      <c r="I15" s="1171"/>
      <c r="J15" s="1169"/>
      <c r="K15" s="1172" t="s">
        <v>19</v>
      </c>
      <c r="L15" s="1173"/>
      <c r="M15" s="1173"/>
      <c r="N15" s="1173"/>
      <c r="O15" s="1174"/>
      <c r="P15" s="1172" t="s">
        <v>187</v>
      </c>
      <c r="Q15" s="1173"/>
      <c r="R15" s="1173"/>
      <c r="S15" s="1173"/>
      <c r="T15" s="1174"/>
      <c r="U15" s="1162" t="s">
        <v>753</v>
      </c>
      <c r="V15" s="1162"/>
      <c r="W15" s="1172" t="s">
        <v>410</v>
      </c>
      <c r="X15" s="1174"/>
      <c r="Y15" s="1162" t="s">
        <v>171</v>
      </c>
      <c r="Z15" s="1162"/>
      <c r="AA15" s="1165"/>
      <c r="AB15" s="1166"/>
      <c r="AC15" s="1167" t="s">
        <v>759</v>
      </c>
      <c r="AD15" s="1167"/>
      <c r="AE15" s="1167" t="s">
        <v>760</v>
      </c>
      <c r="AF15" s="1167"/>
      <c r="AG15" s="1167" t="s">
        <v>761</v>
      </c>
      <c r="AH15" s="1167"/>
      <c r="AI15" s="1167" t="s">
        <v>762</v>
      </c>
      <c r="AJ15" s="1167"/>
      <c r="AK15" s="1167" t="s">
        <v>763</v>
      </c>
      <c r="AL15" s="1167"/>
      <c r="AM15" s="1162" t="s">
        <v>39</v>
      </c>
      <c r="AN15" s="1171" t="s">
        <v>416</v>
      </c>
      <c r="AO15" s="1162"/>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132"/>
      <c r="BQ15" s="132"/>
    </row>
    <row r="16" spans="1:74" ht="193.5" customHeight="1" x14ac:dyDescent="0.3">
      <c r="A16" s="1162"/>
      <c r="B16" s="1162"/>
      <c r="C16" s="1162"/>
      <c r="D16" s="1175"/>
      <c r="E16" s="1175"/>
      <c r="F16" s="180" t="s">
        <v>19</v>
      </c>
      <c r="G16" s="180" t="s">
        <v>168</v>
      </c>
      <c r="H16" s="181" t="s">
        <v>408</v>
      </c>
      <c r="I16" s="181" t="s">
        <v>168</v>
      </c>
      <c r="J16" s="1170"/>
      <c r="K16" s="167" t="s">
        <v>14</v>
      </c>
      <c r="L16" s="167" t="s">
        <v>29</v>
      </c>
      <c r="M16" s="167" t="s">
        <v>30</v>
      </c>
      <c r="N16" s="182" t="s">
        <v>146</v>
      </c>
      <c r="O16" s="182" t="s">
        <v>147</v>
      </c>
      <c r="P16" s="167" t="s">
        <v>14</v>
      </c>
      <c r="Q16" s="167" t="s">
        <v>29</v>
      </c>
      <c r="R16" s="167" t="s">
        <v>30</v>
      </c>
      <c r="S16" s="182" t="s">
        <v>146</v>
      </c>
      <c r="T16" s="182" t="s">
        <v>147</v>
      </c>
      <c r="U16" s="167" t="s">
        <v>13</v>
      </c>
      <c r="V16" s="167" t="s">
        <v>22</v>
      </c>
      <c r="W16" s="167" t="s">
        <v>13</v>
      </c>
      <c r="X16" s="167" t="s">
        <v>22</v>
      </c>
      <c r="Y16" s="167" t="s">
        <v>13</v>
      </c>
      <c r="Z16" s="167" t="s">
        <v>22</v>
      </c>
      <c r="AA16" s="169" t="s">
        <v>522</v>
      </c>
      <c r="AB16" s="169" t="s">
        <v>412</v>
      </c>
      <c r="AC16" s="1105" t="s">
        <v>183</v>
      </c>
      <c r="AD16" s="1105" t="s">
        <v>412</v>
      </c>
      <c r="AE16" s="1105" t="s">
        <v>183</v>
      </c>
      <c r="AF16" s="1105" t="s">
        <v>411</v>
      </c>
      <c r="AG16" s="1105" t="s">
        <v>183</v>
      </c>
      <c r="AH16" s="1105" t="s">
        <v>411</v>
      </c>
      <c r="AI16" s="1105" t="s">
        <v>183</v>
      </c>
      <c r="AJ16" s="1105" t="s">
        <v>411</v>
      </c>
      <c r="AK16" s="1105" t="s">
        <v>183</v>
      </c>
      <c r="AL16" s="1105" t="s">
        <v>411</v>
      </c>
      <c r="AM16" s="1162"/>
      <c r="AN16" s="1171"/>
      <c r="AO16" s="1162"/>
      <c r="AS16" s="518"/>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132"/>
      <c r="BQ16" s="132"/>
    </row>
    <row r="17" spans="1:69" ht="19.5" customHeight="1" x14ac:dyDescent="0.3">
      <c r="A17" s="169">
        <v>1</v>
      </c>
      <c r="B17" s="169">
        <v>2</v>
      </c>
      <c r="C17" s="169">
        <v>3</v>
      </c>
      <c r="D17" s="169">
        <v>4</v>
      </c>
      <c r="E17" s="169">
        <v>5</v>
      </c>
      <c r="F17" s="169">
        <v>6</v>
      </c>
      <c r="G17" s="169">
        <v>7</v>
      </c>
      <c r="H17" s="169">
        <v>8</v>
      </c>
      <c r="I17" s="169">
        <v>9</v>
      </c>
      <c r="J17" s="169">
        <v>10</v>
      </c>
      <c r="K17" s="169">
        <v>11</v>
      </c>
      <c r="L17" s="169">
        <v>12</v>
      </c>
      <c r="M17" s="169">
        <v>13</v>
      </c>
      <c r="N17" s="169">
        <v>14</v>
      </c>
      <c r="O17" s="169">
        <v>15</v>
      </c>
      <c r="P17" s="169">
        <v>16</v>
      </c>
      <c r="Q17" s="169">
        <v>17</v>
      </c>
      <c r="R17" s="169">
        <v>18</v>
      </c>
      <c r="S17" s="169">
        <v>19</v>
      </c>
      <c r="T17" s="169">
        <v>20</v>
      </c>
      <c r="U17" s="169">
        <v>21</v>
      </c>
      <c r="V17" s="169">
        <v>22</v>
      </c>
      <c r="W17" s="169">
        <v>23</v>
      </c>
      <c r="X17" s="169">
        <v>24</v>
      </c>
      <c r="Y17" s="169">
        <v>25</v>
      </c>
      <c r="Z17" s="169">
        <v>26</v>
      </c>
      <c r="AA17" s="169">
        <v>27</v>
      </c>
      <c r="AB17" s="169">
        <v>28</v>
      </c>
      <c r="AC17" s="170" t="s">
        <v>419</v>
      </c>
      <c r="AD17" s="170" t="s">
        <v>420</v>
      </c>
      <c r="AE17" s="170" t="s">
        <v>421</v>
      </c>
      <c r="AF17" s="170" t="s">
        <v>422</v>
      </c>
      <c r="AG17" s="170" t="s">
        <v>423</v>
      </c>
      <c r="AH17" s="170" t="s">
        <v>424</v>
      </c>
      <c r="AI17" s="170" t="s">
        <v>421</v>
      </c>
      <c r="AJ17" s="170" t="s">
        <v>422</v>
      </c>
      <c r="AK17" s="170" t="s">
        <v>423</v>
      </c>
      <c r="AL17" s="170" t="s">
        <v>424</v>
      </c>
      <c r="AM17" s="1105">
        <v>30</v>
      </c>
      <c r="AN17" s="1105">
        <v>31</v>
      </c>
      <c r="AO17" s="1105">
        <v>32</v>
      </c>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132"/>
      <c r="BQ17" s="132"/>
    </row>
    <row r="18" spans="1:69" s="183" customFormat="1" ht="78" customHeight="1" x14ac:dyDescent="0.25">
      <c r="A18" s="147" t="s">
        <v>711</v>
      </c>
      <c r="B18" s="159" t="s">
        <v>684</v>
      </c>
      <c r="C18" s="239" t="s">
        <v>621</v>
      </c>
      <c r="D18" s="239" t="s">
        <v>621</v>
      </c>
      <c r="E18" s="239" t="s">
        <v>621</v>
      </c>
      <c r="F18" s="239" t="s">
        <v>621</v>
      </c>
      <c r="G18" s="239" t="s">
        <v>621</v>
      </c>
      <c r="H18" s="240">
        <f>H19</f>
        <v>407.3</v>
      </c>
      <c r="I18" s="240" t="e">
        <f>I19</f>
        <v>#REF!</v>
      </c>
      <c r="J18" s="240" t="s">
        <v>621</v>
      </c>
      <c r="K18" s="240">
        <v>418.9</v>
      </c>
      <c r="L18" s="240">
        <f t="shared" ref="L18:T21" si="0">L19</f>
        <v>20.51</v>
      </c>
      <c r="M18" s="240">
        <f t="shared" si="0"/>
        <v>192.27</v>
      </c>
      <c r="N18" s="240">
        <f t="shared" si="0"/>
        <v>64.06</v>
      </c>
      <c r="O18" s="240">
        <f t="shared" si="0"/>
        <v>23.74</v>
      </c>
      <c r="P18" s="240">
        <f>P19</f>
        <v>433.96</v>
      </c>
      <c r="Q18" s="240">
        <f t="shared" si="0"/>
        <v>18.309999999999999</v>
      </c>
      <c r="R18" s="240">
        <f t="shared" si="0"/>
        <v>203.53</v>
      </c>
      <c r="S18" s="240">
        <f t="shared" si="0"/>
        <v>192.48</v>
      </c>
      <c r="T18" s="240">
        <f t="shared" si="0"/>
        <v>19.63</v>
      </c>
      <c r="U18" s="240" t="s">
        <v>621</v>
      </c>
      <c r="V18" s="240" t="s">
        <v>621</v>
      </c>
      <c r="W18" s="240" t="s">
        <v>621</v>
      </c>
      <c r="X18" s="240" t="s">
        <v>621</v>
      </c>
      <c r="Y18" s="240" t="s">
        <v>621</v>
      </c>
      <c r="Z18" s="240" t="s">
        <v>621</v>
      </c>
      <c r="AA18" s="240" t="s">
        <v>621</v>
      </c>
      <c r="AB18" s="240" t="s">
        <v>621</v>
      </c>
      <c r="AC18" s="240">
        <f t="shared" ref="AC18:AN19" si="1">AC19</f>
        <v>60.49</v>
      </c>
      <c r="AD18" s="240">
        <f t="shared" si="1"/>
        <v>60.49</v>
      </c>
      <c r="AE18" s="240">
        <f t="shared" si="1"/>
        <v>99.44</v>
      </c>
      <c r="AF18" s="240">
        <f t="shared" si="1"/>
        <v>102.25</v>
      </c>
      <c r="AG18" s="240">
        <v>83.22</v>
      </c>
      <c r="AH18" s="240">
        <f t="shared" si="1"/>
        <v>86.42</v>
      </c>
      <c r="AI18" s="240">
        <v>84.56</v>
      </c>
      <c r="AJ18" s="240">
        <f t="shared" si="1"/>
        <v>88.2</v>
      </c>
      <c r="AK18" s="240">
        <v>91.2</v>
      </c>
      <c r="AL18" s="240">
        <f t="shared" si="1"/>
        <v>96.58</v>
      </c>
      <c r="AM18" s="240">
        <f t="shared" si="1"/>
        <v>418.9</v>
      </c>
      <c r="AN18" s="240">
        <f t="shared" si="1"/>
        <v>433.96</v>
      </c>
      <c r="AO18" s="240" t="s">
        <v>621</v>
      </c>
      <c r="AQ18" s="531">
        <v>405.79</v>
      </c>
      <c r="AR18" s="532">
        <v>102.93</v>
      </c>
      <c r="AS18" s="533">
        <f>AR18/1.2</f>
        <v>85.78</v>
      </c>
      <c r="AT18" s="531"/>
      <c r="AU18" s="533"/>
      <c r="AV18" s="531"/>
      <c r="AW18" s="533"/>
      <c r="AX18" s="533"/>
      <c r="AY18" s="531"/>
      <c r="AZ18" s="531"/>
      <c r="BA18" s="531"/>
      <c r="BB18" s="531"/>
      <c r="BC18" s="531"/>
      <c r="BD18" s="531"/>
      <c r="BE18" s="531"/>
      <c r="BF18" s="531"/>
      <c r="BG18" s="531"/>
      <c r="BH18" s="531"/>
      <c r="BI18" s="531"/>
      <c r="BJ18" s="531"/>
      <c r="BK18" s="531"/>
      <c r="BL18" s="531"/>
      <c r="BM18" s="531"/>
      <c r="BN18" s="531"/>
      <c r="BO18" s="531"/>
    </row>
    <row r="19" spans="1:69" s="183" customFormat="1" ht="50.25" customHeight="1" x14ac:dyDescent="0.25">
      <c r="A19" s="150" t="s">
        <v>713</v>
      </c>
      <c r="B19" s="151" t="s">
        <v>686</v>
      </c>
      <c r="C19" s="241" t="s">
        <v>621</v>
      </c>
      <c r="D19" s="241" t="s">
        <v>621</v>
      </c>
      <c r="E19" s="241" t="s">
        <v>621</v>
      </c>
      <c r="F19" s="241" t="s">
        <v>621</v>
      </c>
      <c r="G19" s="241" t="s">
        <v>621</v>
      </c>
      <c r="H19" s="242">
        <f>H20</f>
        <v>407.3</v>
      </c>
      <c r="I19" s="242" t="e">
        <f>I20</f>
        <v>#REF!</v>
      </c>
      <c r="J19" s="242" t="s">
        <v>621</v>
      </c>
      <c r="K19" s="242">
        <v>418.9</v>
      </c>
      <c r="L19" s="242">
        <f t="shared" si="0"/>
        <v>20.51</v>
      </c>
      <c r="M19" s="242">
        <f t="shared" si="0"/>
        <v>192.27</v>
      </c>
      <c r="N19" s="242">
        <f t="shared" si="0"/>
        <v>64.06</v>
      </c>
      <c r="O19" s="242">
        <f t="shared" si="0"/>
        <v>23.74</v>
      </c>
      <c r="P19" s="242">
        <f>P20</f>
        <v>433.96</v>
      </c>
      <c r="Q19" s="242">
        <f t="shared" si="0"/>
        <v>18.309999999999999</v>
      </c>
      <c r="R19" s="242">
        <f t="shared" si="0"/>
        <v>203.53</v>
      </c>
      <c r="S19" s="242">
        <f t="shared" si="0"/>
        <v>192.48</v>
      </c>
      <c r="T19" s="242">
        <f>T20</f>
        <v>19.63</v>
      </c>
      <c r="U19" s="242" t="s">
        <v>621</v>
      </c>
      <c r="V19" s="242" t="s">
        <v>621</v>
      </c>
      <c r="W19" s="242" t="s">
        <v>621</v>
      </c>
      <c r="X19" s="242" t="s">
        <v>621</v>
      </c>
      <c r="Y19" s="242" t="s">
        <v>621</v>
      </c>
      <c r="Z19" s="242" t="s">
        <v>621</v>
      </c>
      <c r="AA19" s="242" t="s">
        <v>621</v>
      </c>
      <c r="AB19" s="242" t="s">
        <v>621</v>
      </c>
      <c r="AC19" s="242">
        <f t="shared" si="1"/>
        <v>60.49</v>
      </c>
      <c r="AD19" s="242">
        <f t="shared" si="1"/>
        <v>60.49</v>
      </c>
      <c r="AE19" s="242">
        <f t="shared" si="1"/>
        <v>99.44</v>
      </c>
      <c r="AF19" s="242">
        <f t="shared" si="1"/>
        <v>102.25</v>
      </c>
      <c r="AG19" s="242">
        <v>83.22</v>
      </c>
      <c r="AH19" s="242">
        <f t="shared" si="1"/>
        <v>86.42</v>
      </c>
      <c r="AI19" s="242">
        <v>84.56</v>
      </c>
      <c r="AJ19" s="242">
        <f t="shared" si="1"/>
        <v>88.2</v>
      </c>
      <c r="AK19" s="242">
        <v>91.2</v>
      </c>
      <c r="AL19" s="242">
        <f t="shared" si="1"/>
        <v>96.58</v>
      </c>
      <c r="AM19" s="242">
        <f t="shared" si="1"/>
        <v>418.9</v>
      </c>
      <c r="AN19" s="242">
        <f>AN21+AN48+AN51+AN72</f>
        <v>433.96</v>
      </c>
      <c r="AO19" s="242" t="s">
        <v>621</v>
      </c>
      <c r="AQ19" s="531">
        <v>405.79</v>
      </c>
      <c r="AR19" s="532">
        <v>102.93</v>
      </c>
      <c r="AS19" s="533"/>
      <c r="AT19" s="531"/>
      <c r="AU19" s="533"/>
      <c r="AV19" s="531"/>
      <c r="AW19" s="533"/>
      <c r="AX19" s="533"/>
      <c r="AY19" s="531"/>
      <c r="AZ19" s="531"/>
      <c r="BA19" s="531"/>
      <c r="BB19" s="531"/>
      <c r="BC19" s="531"/>
      <c r="BD19" s="531"/>
      <c r="BE19" s="531"/>
      <c r="BF19" s="531"/>
      <c r="BG19" s="531"/>
      <c r="BH19" s="531"/>
      <c r="BI19" s="531"/>
      <c r="BJ19" s="531"/>
      <c r="BK19" s="531"/>
      <c r="BL19" s="531"/>
      <c r="BM19" s="531"/>
      <c r="BN19" s="531"/>
      <c r="BO19" s="531"/>
    </row>
    <row r="20" spans="1:69" s="183" customFormat="1" ht="46.5" customHeight="1" x14ac:dyDescent="0.25">
      <c r="A20" s="153" t="s">
        <v>537</v>
      </c>
      <c r="B20" s="154" t="s">
        <v>691</v>
      </c>
      <c r="C20" s="241" t="s">
        <v>621</v>
      </c>
      <c r="D20" s="241" t="s">
        <v>621</v>
      </c>
      <c r="E20" s="241" t="s">
        <v>621</v>
      </c>
      <c r="F20" s="241" t="s">
        <v>621</v>
      </c>
      <c r="G20" s="241" t="s">
        <v>621</v>
      </c>
      <c r="H20" s="242">
        <f>H21+H51+H48+H72</f>
        <v>407.3</v>
      </c>
      <c r="I20" s="242" t="e">
        <f>I21+I51+I48+#REF!+I72-0.01</f>
        <v>#REF!</v>
      </c>
      <c r="J20" s="242" t="s">
        <v>621</v>
      </c>
      <c r="K20" s="242">
        <v>418.9</v>
      </c>
      <c r="L20" s="242">
        <f>L21+L51</f>
        <v>20.51</v>
      </c>
      <c r="M20" s="242">
        <f>M21+M51</f>
        <v>192.27</v>
      </c>
      <c r="N20" s="242">
        <f>N21+N51</f>
        <v>64.06</v>
      </c>
      <c r="O20" s="242">
        <f>O21+O51</f>
        <v>23.74</v>
      </c>
      <c r="P20" s="242">
        <f>P21+P48+P51+P72</f>
        <v>433.96</v>
      </c>
      <c r="Q20" s="242">
        <f>Q21+Q48+Q51+Q72</f>
        <v>18.309999999999999</v>
      </c>
      <c r="R20" s="242">
        <f>R21+R48+R51+R72</f>
        <v>203.53</v>
      </c>
      <c r="S20" s="242">
        <f>S21+S48+S51+S72</f>
        <v>192.48</v>
      </c>
      <c r="T20" s="242">
        <f>T21+T48+T51+T72</f>
        <v>19.63</v>
      </c>
      <c r="U20" s="242" t="s">
        <v>621</v>
      </c>
      <c r="V20" s="242" t="s">
        <v>621</v>
      </c>
      <c r="W20" s="242" t="s">
        <v>621</v>
      </c>
      <c r="X20" s="242" t="s">
        <v>621</v>
      </c>
      <c r="Y20" s="242" t="s">
        <v>621</v>
      </c>
      <c r="Z20" s="242" t="s">
        <v>621</v>
      </c>
      <c r="AA20" s="242" t="s">
        <v>621</v>
      </c>
      <c r="AB20" s="242" t="s">
        <v>621</v>
      </c>
      <c r="AC20" s="242">
        <f t="shared" ref="AC20:AM20" si="2">AC21+AC48+AC51+AC72</f>
        <v>60.49</v>
      </c>
      <c r="AD20" s="242">
        <f t="shared" si="2"/>
        <v>60.49</v>
      </c>
      <c r="AE20" s="242">
        <f t="shared" si="2"/>
        <v>99.44</v>
      </c>
      <c r="AF20" s="242">
        <f t="shared" si="2"/>
        <v>102.25</v>
      </c>
      <c r="AG20" s="242">
        <f t="shared" si="2"/>
        <v>83.22</v>
      </c>
      <c r="AH20" s="242">
        <f t="shared" si="2"/>
        <v>86.42</v>
      </c>
      <c r="AI20" s="242">
        <f t="shared" si="2"/>
        <v>84.56</v>
      </c>
      <c r="AJ20" s="242">
        <f t="shared" si="2"/>
        <v>88.2</v>
      </c>
      <c r="AK20" s="242">
        <f t="shared" si="2"/>
        <v>91.2</v>
      </c>
      <c r="AL20" s="242">
        <f t="shared" si="2"/>
        <v>96.58</v>
      </c>
      <c r="AM20" s="242">
        <f t="shared" si="2"/>
        <v>418.9</v>
      </c>
      <c r="AN20" s="242">
        <f>AN21+AN48+AN51+AN72</f>
        <v>433.96</v>
      </c>
      <c r="AO20" s="242" t="s">
        <v>621</v>
      </c>
      <c r="AQ20" s="533">
        <v>405.79</v>
      </c>
      <c r="AR20" s="532">
        <v>102.93</v>
      </c>
      <c r="AS20" s="533"/>
      <c r="AT20" s="531"/>
      <c r="AU20" s="533"/>
      <c r="AV20" s="531"/>
      <c r="AW20" s="533"/>
      <c r="AX20" s="533"/>
      <c r="AY20" s="531"/>
      <c r="AZ20" s="531"/>
      <c r="BA20" s="531"/>
      <c r="BB20" s="531"/>
      <c r="BC20" s="531"/>
      <c r="BD20" s="531"/>
      <c r="BE20" s="531"/>
      <c r="BF20" s="531"/>
      <c r="BG20" s="531"/>
      <c r="BH20" s="531"/>
      <c r="BI20" s="531"/>
      <c r="BJ20" s="531"/>
      <c r="BK20" s="531"/>
      <c r="BL20" s="531"/>
      <c r="BM20" s="531"/>
      <c r="BN20" s="531"/>
      <c r="BO20" s="531"/>
    </row>
    <row r="21" spans="1:69" s="183" customFormat="1" ht="87.75" customHeight="1" x14ac:dyDescent="0.25">
      <c r="A21" s="147" t="s">
        <v>545</v>
      </c>
      <c r="B21" s="159" t="s">
        <v>697</v>
      </c>
      <c r="C21" s="239" t="s">
        <v>621</v>
      </c>
      <c r="D21" s="239" t="s">
        <v>621</v>
      </c>
      <c r="E21" s="239" t="s">
        <v>621</v>
      </c>
      <c r="F21" s="239" t="s">
        <v>621</v>
      </c>
      <c r="G21" s="239" t="s">
        <v>621</v>
      </c>
      <c r="H21" s="240">
        <f>H22</f>
        <v>152.28</v>
      </c>
      <c r="I21" s="240">
        <f>I22</f>
        <v>175.11</v>
      </c>
      <c r="J21" s="240" t="s">
        <v>621</v>
      </c>
      <c r="K21" s="240">
        <v>152.28</v>
      </c>
      <c r="L21" s="240">
        <f t="shared" si="0"/>
        <v>12.17</v>
      </c>
      <c r="M21" s="240">
        <f t="shared" si="0"/>
        <v>137.07</v>
      </c>
      <c r="N21" s="240">
        <f t="shared" si="0"/>
        <v>0</v>
      </c>
      <c r="O21" s="240">
        <f t="shared" si="0"/>
        <v>3.05</v>
      </c>
      <c r="P21" s="240">
        <f>P22</f>
        <v>175.11</v>
      </c>
      <c r="Q21" s="240">
        <f>Q22</f>
        <v>11.7</v>
      </c>
      <c r="R21" s="240">
        <f>R22</f>
        <v>160.11000000000001</v>
      </c>
      <c r="S21" s="240">
        <f>S22</f>
        <v>0</v>
      </c>
      <c r="T21" s="240">
        <f>T22</f>
        <v>3.3</v>
      </c>
      <c r="U21" s="240" t="s">
        <v>621</v>
      </c>
      <c r="V21" s="240" t="s">
        <v>621</v>
      </c>
      <c r="W21" s="240" t="s">
        <v>621</v>
      </c>
      <c r="X21" s="240" t="s">
        <v>621</v>
      </c>
      <c r="Y21" s="240" t="s">
        <v>621</v>
      </c>
      <c r="Z21" s="240" t="s">
        <v>621</v>
      </c>
      <c r="AA21" s="240" t="s">
        <v>621</v>
      </c>
      <c r="AB21" s="240" t="s">
        <v>621</v>
      </c>
      <c r="AC21" s="240">
        <f t="shared" ref="AC21:AM21" si="3">AC22</f>
        <v>25.72</v>
      </c>
      <c r="AD21" s="240">
        <f t="shared" si="3"/>
        <v>25.72</v>
      </c>
      <c r="AE21" s="240">
        <f t="shared" si="3"/>
        <v>42.6</v>
      </c>
      <c r="AF21" s="240">
        <f t="shared" si="3"/>
        <v>49.65</v>
      </c>
      <c r="AG21" s="240">
        <f t="shared" si="3"/>
        <v>10.72</v>
      </c>
      <c r="AH21" s="240">
        <f t="shared" si="3"/>
        <v>21.15</v>
      </c>
      <c r="AI21" s="240">
        <f t="shared" si="3"/>
        <v>47.19</v>
      </c>
      <c r="AJ21" s="240">
        <f t="shared" si="3"/>
        <v>50.32</v>
      </c>
      <c r="AK21" s="240">
        <f t="shared" si="3"/>
        <v>26.05</v>
      </c>
      <c r="AL21" s="240">
        <f t="shared" si="3"/>
        <v>28.27</v>
      </c>
      <c r="AM21" s="240">
        <f t="shared" si="3"/>
        <v>152.28</v>
      </c>
      <c r="AN21" s="240">
        <f>AN22</f>
        <v>175.11</v>
      </c>
      <c r="AO21" s="240" t="s">
        <v>621</v>
      </c>
      <c r="AQ21" s="533">
        <v>152.28</v>
      </c>
      <c r="AR21" s="532">
        <v>51.11</v>
      </c>
      <c r="AS21" s="533"/>
      <c r="AT21" s="531"/>
      <c r="AU21" s="533"/>
      <c r="AV21" s="531"/>
      <c r="AW21" s="533"/>
      <c r="AX21" s="533"/>
      <c r="AY21" s="531"/>
      <c r="AZ21" s="531"/>
      <c r="BA21" s="531"/>
      <c r="BB21" s="531"/>
      <c r="BC21" s="531"/>
      <c r="BD21" s="531"/>
      <c r="BE21" s="531"/>
      <c r="BF21" s="531"/>
      <c r="BG21" s="531"/>
      <c r="BH21" s="531"/>
      <c r="BI21" s="531"/>
      <c r="BJ21" s="531"/>
      <c r="BK21" s="531"/>
      <c r="BL21" s="531"/>
      <c r="BM21" s="531"/>
      <c r="BN21" s="531"/>
      <c r="BO21" s="531"/>
    </row>
    <row r="22" spans="1:69" s="183" customFormat="1" ht="74.25" customHeight="1" x14ac:dyDescent="0.25">
      <c r="A22" s="947" t="s">
        <v>595</v>
      </c>
      <c r="B22" s="948" t="s">
        <v>746</v>
      </c>
      <c r="C22" s="949" t="s">
        <v>621</v>
      </c>
      <c r="D22" s="949" t="s">
        <v>621</v>
      </c>
      <c r="E22" s="949" t="s">
        <v>621</v>
      </c>
      <c r="F22" s="949" t="s">
        <v>621</v>
      </c>
      <c r="G22" s="949" t="s">
        <v>621</v>
      </c>
      <c r="H22" s="950">
        <f>SUM(H23:H46)</f>
        <v>152.28</v>
      </c>
      <c r="I22" s="950">
        <f>SUM(I23:I47)</f>
        <v>175.11</v>
      </c>
      <c r="J22" s="950" t="s">
        <v>621</v>
      </c>
      <c r="K22" s="950">
        <v>152.28</v>
      </c>
      <c r="L22" s="950">
        <f>SUM(L23:L34)</f>
        <v>12.17</v>
      </c>
      <c r="M22" s="950">
        <f>SUM(M23:M34)</f>
        <v>137.07</v>
      </c>
      <c r="N22" s="950">
        <f>SUM(N23:N34)</f>
        <v>0</v>
      </c>
      <c r="O22" s="950">
        <f>K22*2%</f>
        <v>3.05</v>
      </c>
      <c r="P22" s="950">
        <f>SUM(P23:P47)</f>
        <v>175.11</v>
      </c>
      <c r="Q22" s="1065">
        <f>SUM(Q23:Q47)</f>
        <v>11.7</v>
      </c>
      <c r="R22" s="1065">
        <f>SUM(R23:R47)</f>
        <v>160.11000000000001</v>
      </c>
      <c r="S22" s="1065">
        <f>SUM(S23:S47)</f>
        <v>0</v>
      </c>
      <c r="T22" s="1065">
        <f>SUM(T23:T47)</f>
        <v>3.3</v>
      </c>
      <c r="U22" s="950" t="s">
        <v>621</v>
      </c>
      <c r="V22" s="950" t="s">
        <v>621</v>
      </c>
      <c r="W22" s="950" t="s">
        <v>621</v>
      </c>
      <c r="X22" s="950" t="s">
        <v>621</v>
      </c>
      <c r="Y22" s="950" t="s">
        <v>621</v>
      </c>
      <c r="Z22" s="950" t="s">
        <v>621</v>
      </c>
      <c r="AA22" s="950" t="s">
        <v>621</v>
      </c>
      <c r="AB22" s="950" t="s">
        <v>621</v>
      </c>
      <c r="AC22" s="927">
        <f t="shared" ref="AC22:AM22" si="4">SUM(AC23:AC47)</f>
        <v>25.72</v>
      </c>
      <c r="AD22" s="927">
        <f t="shared" si="4"/>
        <v>25.72</v>
      </c>
      <c r="AE22" s="927">
        <f t="shared" si="4"/>
        <v>42.6</v>
      </c>
      <c r="AF22" s="927">
        <f t="shared" si="4"/>
        <v>49.65</v>
      </c>
      <c r="AG22" s="927">
        <f t="shared" si="4"/>
        <v>10.72</v>
      </c>
      <c r="AH22" s="927">
        <f t="shared" si="4"/>
        <v>21.15</v>
      </c>
      <c r="AI22" s="927">
        <f t="shared" si="4"/>
        <v>47.19</v>
      </c>
      <c r="AJ22" s="927">
        <f t="shared" si="4"/>
        <v>50.32</v>
      </c>
      <c r="AK22" s="927">
        <f t="shared" si="4"/>
        <v>26.05</v>
      </c>
      <c r="AL22" s="927">
        <f t="shared" si="4"/>
        <v>28.27</v>
      </c>
      <c r="AM22" s="927">
        <f t="shared" si="4"/>
        <v>152.28</v>
      </c>
      <c r="AN22" s="927">
        <f>SUM(AN23:AN47)</f>
        <v>175.11</v>
      </c>
      <c r="AO22" s="927" t="s">
        <v>621</v>
      </c>
      <c r="AQ22" s="533">
        <v>152.28</v>
      </c>
      <c r="AR22" s="532">
        <v>51.11</v>
      </c>
      <c r="AS22" s="533"/>
      <c r="AT22" s="531"/>
      <c r="AU22" s="533"/>
      <c r="AV22" s="531"/>
      <c r="AW22" s="533"/>
      <c r="AX22" s="533"/>
      <c r="AY22" s="531"/>
      <c r="AZ22" s="531"/>
      <c r="BA22" s="531"/>
      <c r="BB22" s="531"/>
      <c r="BC22" s="531"/>
      <c r="BD22" s="531"/>
      <c r="BE22" s="531"/>
      <c r="BF22" s="531"/>
      <c r="BG22" s="531"/>
      <c r="BH22" s="531"/>
      <c r="BI22" s="531"/>
      <c r="BJ22" s="531"/>
      <c r="BK22" s="531"/>
      <c r="BL22" s="531"/>
      <c r="BM22" s="531"/>
      <c r="BN22" s="531"/>
      <c r="BO22" s="531"/>
    </row>
    <row r="23" spans="1:69" s="313" customFormat="1" ht="117" customHeight="1" x14ac:dyDescent="0.25">
      <c r="A23" s="380" t="s">
        <v>814</v>
      </c>
      <c r="B23" s="400" t="s">
        <v>815</v>
      </c>
      <c r="C23" s="395" t="s">
        <v>1044</v>
      </c>
      <c r="D23" s="395" t="s">
        <v>823</v>
      </c>
      <c r="E23" s="395">
        <v>2020</v>
      </c>
      <c r="F23" s="395">
        <v>2020</v>
      </c>
      <c r="G23" s="395" t="s">
        <v>621</v>
      </c>
      <c r="H23" s="1053">
        <f>K23</f>
        <v>7.25</v>
      </c>
      <c r="I23" s="927">
        <f>H23</f>
        <v>7.25</v>
      </c>
      <c r="J23" s="927" t="s">
        <v>621</v>
      </c>
      <c r="K23" s="927">
        <v>7.25</v>
      </c>
      <c r="L23" s="927">
        <f>K23-M23-O23</f>
        <v>0.56999999999999995</v>
      </c>
      <c r="M23" s="927">
        <f>K23*0.9</f>
        <v>6.53</v>
      </c>
      <c r="N23" s="927">
        <v>0</v>
      </c>
      <c r="O23" s="950">
        <f t="shared" ref="O23:O34" si="5">K23*2%</f>
        <v>0.15</v>
      </c>
      <c r="P23" s="927">
        <f>'2 (цены с НДС)'!S23/1.2</f>
        <v>7.25</v>
      </c>
      <c r="Q23" s="927">
        <f>L23</f>
        <v>0.56999999999999995</v>
      </c>
      <c r="R23" s="927">
        <f>P23-Q23-T23</f>
        <v>6.54</v>
      </c>
      <c r="S23" s="927">
        <f>N23</f>
        <v>0</v>
      </c>
      <c r="T23" s="927">
        <v>0.14000000000000001</v>
      </c>
      <c r="U23" s="927" t="s">
        <v>621</v>
      </c>
      <c r="V23" s="927" t="s">
        <v>621</v>
      </c>
      <c r="W23" s="927" t="s">
        <v>621</v>
      </c>
      <c r="X23" s="927" t="s">
        <v>621</v>
      </c>
      <c r="Y23" s="927" t="s">
        <v>621</v>
      </c>
      <c r="Z23" s="927" t="s">
        <v>621</v>
      </c>
      <c r="AA23" s="927" t="s">
        <v>621</v>
      </c>
      <c r="AB23" s="927" t="s">
        <v>621</v>
      </c>
      <c r="AC23" s="927">
        <f>K23</f>
        <v>7.25</v>
      </c>
      <c r="AD23" s="927">
        <f>AC23</f>
        <v>7.25</v>
      </c>
      <c r="AE23" s="927">
        <v>0</v>
      </c>
      <c r="AF23" s="927">
        <f>AE23</f>
        <v>0</v>
      </c>
      <c r="AG23" s="927">
        <v>0</v>
      </c>
      <c r="AH23" s="927">
        <f>AG23</f>
        <v>0</v>
      </c>
      <c r="AI23" s="927">
        <v>0</v>
      </c>
      <c r="AJ23" s="927">
        <f>AI23</f>
        <v>0</v>
      </c>
      <c r="AK23" s="927">
        <v>0</v>
      </c>
      <c r="AL23" s="927">
        <f>AK23</f>
        <v>0</v>
      </c>
      <c r="AM23" s="927">
        <f>AC23</f>
        <v>7.25</v>
      </c>
      <c r="AN23" s="927">
        <f>P23</f>
        <v>7.25</v>
      </c>
      <c r="AO23" s="927" t="s">
        <v>621</v>
      </c>
      <c r="AQ23" s="533">
        <v>7.25</v>
      </c>
      <c r="AR23" s="532" t="s">
        <v>621</v>
      </c>
      <c r="AS23" s="533"/>
      <c r="AT23" s="531"/>
      <c r="AU23" s="533"/>
      <c r="AV23" s="531"/>
      <c r="AW23" s="533"/>
      <c r="AX23" s="533"/>
      <c r="AY23" s="531"/>
      <c r="AZ23" s="531"/>
      <c r="BA23" s="531"/>
      <c r="BB23" s="531"/>
      <c r="BC23" s="531"/>
      <c r="BD23" s="531"/>
      <c r="BE23" s="531"/>
      <c r="BF23" s="531"/>
      <c r="BG23" s="531"/>
      <c r="BH23" s="531"/>
      <c r="BI23" s="531"/>
      <c r="BJ23" s="531"/>
      <c r="BK23" s="531"/>
      <c r="BL23" s="531"/>
      <c r="BM23" s="531"/>
      <c r="BN23" s="531"/>
      <c r="BO23" s="531"/>
    </row>
    <row r="24" spans="1:69" s="313" customFormat="1" ht="162" customHeight="1" x14ac:dyDescent="0.25">
      <c r="A24" s="380" t="s">
        <v>813</v>
      </c>
      <c r="B24" s="400" t="s">
        <v>859</v>
      </c>
      <c r="C24" s="395" t="s">
        <v>1045</v>
      </c>
      <c r="D24" s="395" t="s">
        <v>823</v>
      </c>
      <c r="E24" s="395">
        <v>2020</v>
      </c>
      <c r="F24" s="395">
        <v>2020</v>
      </c>
      <c r="G24" s="395" t="s">
        <v>621</v>
      </c>
      <c r="H24" s="1053">
        <f t="shared" ref="H24:H34" si="6">K24</f>
        <v>2.93</v>
      </c>
      <c r="I24" s="927">
        <f>H24</f>
        <v>2.93</v>
      </c>
      <c r="J24" s="927" t="s">
        <v>621</v>
      </c>
      <c r="K24" s="927">
        <v>2.93</v>
      </c>
      <c r="L24" s="927">
        <f t="shared" ref="L24:L34" si="7">K24-M24-O24</f>
        <v>0.23</v>
      </c>
      <c r="M24" s="927">
        <f t="shared" ref="M24:M34" si="8">K24*0.9</f>
        <v>2.64</v>
      </c>
      <c r="N24" s="927">
        <v>0</v>
      </c>
      <c r="O24" s="950">
        <f t="shared" si="5"/>
        <v>0.06</v>
      </c>
      <c r="P24" s="927">
        <f>'2 (цены с НДС)'!S24/1.2</f>
        <v>2.93</v>
      </c>
      <c r="Q24" s="927">
        <f t="shared" ref="Q24:Q34" si="9">L24</f>
        <v>0.23</v>
      </c>
      <c r="R24" s="927">
        <f>P24-Q24-T24</f>
        <v>2.64</v>
      </c>
      <c r="S24" s="927">
        <v>0</v>
      </c>
      <c r="T24" s="927">
        <f t="shared" ref="T24:T34" si="10">O24</f>
        <v>0.06</v>
      </c>
      <c r="U24" s="927" t="s">
        <v>621</v>
      </c>
      <c r="V24" s="927" t="s">
        <v>621</v>
      </c>
      <c r="W24" s="927" t="s">
        <v>621</v>
      </c>
      <c r="X24" s="927" t="s">
        <v>621</v>
      </c>
      <c r="Y24" s="927" t="s">
        <v>621</v>
      </c>
      <c r="Z24" s="927" t="s">
        <v>621</v>
      </c>
      <c r="AA24" s="927" t="s">
        <v>621</v>
      </c>
      <c r="AB24" s="927" t="s">
        <v>621</v>
      </c>
      <c r="AC24" s="927">
        <f>K24</f>
        <v>2.93</v>
      </c>
      <c r="AD24" s="927">
        <f t="shared" ref="AD24:AD35" si="11">AC24</f>
        <v>2.93</v>
      </c>
      <c r="AE24" s="927">
        <v>0</v>
      </c>
      <c r="AF24" s="927">
        <f>AE24</f>
        <v>0</v>
      </c>
      <c r="AG24" s="927">
        <v>0</v>
      </c>
      <c r="AH24" s="927">
        <f t="shared" ref="AH24:AH46" si="12">AG24</f>
        <v>0</v>
      </c>
      <c r="AI24" s="927">
        <v>0</v>
      </c>
      <c r="AJ24" s="927">
        <f t="shared" ref="AJ24:AJ35" si="13">AI24</f>
        <v>0</v>
      </c>
      <c r="AK24" s="927">
        <v>0</v>
      </c>
      <c r="AL24" s="927">
        <f t="shared" ref="AL24:AL31" si="14">AK24</f>
        <v>0</v>
      </c>
      <c r="AM24" s="927">
        <f>AC24</f>
        <v>2.93</v>
      </c>
      <c r="AN24" s="927">
        <f t="shared" ref="AN24:AN73" si="15">P24</f>
        <v>2.93</v>
      </c>
      <c r="AO24" s="927" t="s">
        <v>621</v>
      </c>
      <c r="AQ24" s="533">
        <v>2.93</v>
      </c>
      <c r="AR24" s="532" t="s">
        <v>621</v>
      </c>
      <c r="AS24" s="533"/>
      <c r="AT24" s="531"/>
      <c r="AU24" s="533"/>
      <c r="AV24" s="531"/>
      <c r="AW24" s="533"/>
      <c r="AX24" s="533"/>
      <c r="AY24" s="531"/>
      <c r="AZ24" s="531"/>
      <c r="BA24" s="531"/>
      <c r="BB24" s="531"/>
      <c r="BC24" s="531"/>
      <c r="BD24" s="531"/>
      <c r="BE24" s="531"/>
      <c r="BF24" s="531"/>
      <c r="BG24" s="531"/>
      <c r="BH24" s="531"/>
      <c r="BI24" s="531"/>
      <c r="BJ24" s="531"/>
      <c r="BK24" s="531"/>
      <c r="BL24" s="531"/>
      <c r="BM24" s="531"/>
      <c r="BN24" s="531"/>
      <c r="BO24" s="531"/>
    </row>
    <row r="25" spans="1:69" s="313" customFormat="1" ht="214.5" customHeight="1" x14ac:dyDescent="0.25">
      <c r="A25" s="380" t="s">
        <v>817</v>
      </c>
      <c r="B25" s="400" t="s">
        <v>934</v>
      </c>
      <c r="C25" s="395" t="s">
        <v>1046</v>
      </c>
      <c r="D25" s="395" t="s">
        <v>823</v>
      </c>
      <c r="E25" s="395">
        <v>2020</v>
      </c>
      <c r="F25" s="395">
        <v>2020</v>
      </c>
      <c r="G25" s="395" t="s">
        <v>621</v>
      </c>
      <c r="H25" s="1053">
        <f t="shared" si="6"/>
        <v>15.54</v>
      </c>
      <c r="I25" s="927">
        <f>H25</f>
        <v>15.54</v>
      </c>
      <c r="J25" s="927" t="s">
        <v>621</v>
      </c>
      <c r="K25" s="927">
        <v>15.54</v>
      </c>
      <c r="L25" s="927">
        <f t="shared" si="7"/>
        <v>1.24</v>
      </c>
      <c r="M25" s="927">
        <f t="shared" si="8"/>
        <v>13.99</v>
      </c>
      <c r="N25" s="927">
        <v>0</v>
      </c>
      <c r="O25" s="950">
        <f t="shared" si="5"/>
        <v>0.31</v>
      </c>
      <c r="P25" s="927">
        <f>'2 (цены с НДС)'!S25/1.2</f>
        <v>15.54</v>
      </c>
      <c r="Q25" s="927">
        <v>1.24</v>
      </c>
      <c r="R25" s="927">
        <f>P25-Q25-T25</f>
        <v>13.99</v>
      </c>
      <c r="S25" s="927">
        <v>0</v>
      </c>
      <c r="T25" s="927">
        <v>0.31</v>
      </c>
      <c r="U25" s="927" t="s">
        <v>621</v>
      </c>
      <c r="V25" s="927" t="s">
        <v>621</v>
      </c>
      <c r="W25" s="927" t="s">
        <v>621</v>
      </c>
      <c r="X25" s="927" t="s">
        <v>621</v>
      </c>
      <c r="Y25" s="927" t="s">
        <v>621</v>
      </c>
      <c r="Z25" s="927" t="s">
        <v>621</v>
      </c>
      <c r="AA25" s="927" t="s">
        <v>621</v>
      </c>
      <c r="AB25" s="927" t="s">
        <v>621</v>
      </c>
      <c r="AC25" s="927">
        <v>15.54</v>
      </c>
      <c r="AD25" s="927">
        <f>P25</f>
        <v>15.54</v>
      </c>
      <c r="AE25" s="927">
        <v>0</v>
      </c>
      <c r="AF25" s="927">
        <f>AE25</f>
        <v>0</v>
      </c>
      <c r="AG25" s="927">
        <v>0</v>
      </c>
      <c r="AH25" s="927">
        <f t="shared" si="12"/>
        <v>0</v>
      </c>
      <c r="AI25" s="927">
        <v>0</v>
      </c>
      <c r="AJ25" s="927">
        <f t="shared" si="13"/>
        <v>0</v>
      </c>
      <c r="AK25" s="927">
        <v>0</v>
      </c>
      <c r="AL25" s="927">
        <f t="shared" si="14"/>
        <v>0</v>
      </c>
      <c r="AM25" s="927">
        <v>15.54</v>
      </c>
      <c r="AN25" s="927">
        <f t="shared" si="15"/>
        <v>15.54</v>
      </c>
      <c r="AO25" s="927"/>
      <c r="AQ25" s="533">
        <v>15.54</v>
      </c>
      <c r="AR25" s="532" t="s">
        <v>621</v>
      </c>
      <c r="AS25" s="533"/>
      <c r="AT25" s="531"/>
      <c r="AU25" s="533"/>
      <c r="AV25" s="531"/>
      <c r="AW25" s="533"/>
      <c r="AX25" s="533"/>
      <c r="AY25" s="531"/>
      <c r="AZ25" s="531"/>
      <c r="BA25" s="531"/>
      <c r="BB25" s="531"/>
      <c r="BC25" s="531"/>
      <c r="BD25" s="531"/>
      <c r="BE25" s="531"/>
      <c r="BF25" s="531"/>
      <c r="BG25" s="531"/>
      <c r="BH25" s="531"/>
      <c r="BI25" s="531"/>
      <c r="BJ25" s="531"/>
      <c r="BK25" s="531"/>
      <c r="BL25" s="531"/>
      <c r="BM25" s="531"/>
      <c r="BN25" s="531"/>
      <c r="BO25" s="531"/>
    </row>
    <row r="26" spans="1:69" s="313" customFormat="1" ht="187.5" customHeight="1" x14ac:dyDescent="0.25">
      <c r="A26" s="1066" t="s">
        <v>819</v>
      </c>
      <c r="B26" s="1067" t="s">
        <v>816</v>
      </c>
      <c r="C26" s="954" t="s">
        <v>1047</v>
      </c>
      <c r="D26" s="954" t="s">
        <v>823</v>
      </c>
      <c r="E26" s="954">
        <v>2021</v>
      </c>
      <c r="F26" s="954">
        <v>2021</v>
      </c>
      <c r="G26" s="954" t="s">
        <v>621</v>
      </c>
      <c r="H26" s="1053">
        <f t="shared" si="6"/>
        <v>9.2100000000000009</v>
      </c>
      <c r="I26" s="955">
        <f>'2 (цены с НДС)'!U26/1.2</f>
        <v>12.77</v>
      </c>
      <c r="J26" s="955" t="s">
        <v>621</v>
      </c>
      <c r="K26" s="955">
        <v>9.2100000000000009</v>
      </c>
      <c r="L26" s="955">
        <f t="shared" si="7"/>
        <v>0.74</v>
      </c>
      <c r="M26" s="955">
        <f t="shared" si="8"/>
        <v>8.2899999999999991</v>
      </c>
      <c r="N26" s="955">
        <v>0</v>
      </c>
      <c r="O26" s="1065">
        <f t="shared" si="5"/>
        <v>0.18</v>
      </c>
      <c r="P26" s="955">
        <f>'2 (цены с НДС)'!S26/1.2</f>
        <v>12.77</v>
      </c>
      <c r="Q26" s="955">
        <f t="shared" si="9"/>
        <v>0.74</v>
      </c>
      <c r="R26" s="955">
        <f>P26-Q26-T26</f>
        <v>11.85</v>
      </c>
      <c r="S26" s="955">
        <f t="shared" ref="S26:S34" si="16">N26</f>
        <v>0</v>
      </c>
      <c r="T26" s="955">
        <f t="shared" si="10"/>
        <v>0.18</v>
      </c>
      <c r="U26" s="955" t="s">
        <v>621</v>
      </c>
      <c r="V26" s="955" t="s">
        <v>621</v>
      </c>
      <c r="W26" s="955" t="s">
        <v>621</v>
      </c>
      <c r="X26" s="955" t="s">
        <v>621</v>
      </c>
      <c r="Y26" s="955" t="s">
        <v>621</v>
      </c>
      <c r="Z26" s="955" t="s">
        <v>621</v>
      </c>
      <c r="AA26" s="955" t="s">
        <v>621</v>
      </c>
      <c r="AB26" s="955" t="s">
        <v>621</v>
      </c>
      <c r="AC26" s="955">
        <v>0</v>
      </c>
      <c r="AD26" s="955">
        <f t="shared" si="11"/>
        <v>0</v>
      </c>
      <c r="AE26" s="955">
        <v>9.2100000000000009</v>
      </c>
      <c r="AF26" s="955">
        <f>I26</f>
        <v>12.77</v>
      </c>
      <c r="AG26" s="955">
        <v>0</v>
      </c>
      <c r="AH26" s="955">
        <f t="shared" si="12"/>
        <v>0</v>
      </c>
      <c r="AI26" s="955">
        <v>0</v>
      </c>
      <c r="AJ26" s="955">
        <f t="shared" si="13"/>
        <v>0</v>
      </c>
      <c r="AK26" s="955">
        <v>0</v>
      </c>
      <c r="AL26" s="955">
        <f t="shared" si="14"/>
        <v>0</v>
      </c>
      <c r="AM26" s="955">
        <f>AE26</f>
        <v>9.2100000000000009</v>
      </c>
      <c r="AN26" s="927">
        <f t="shared" si="15"/>
        <v>12.77</v>
      </c>
      <c r="AO26" s="955" t="s">
        <v>621</v>
      </c>
      <c r="AQ26" s="533">
        <v>9.1999999999999993</v>
      </c>
      <c r="AR26" s="532">
        <v>11.04</v>
      </c>
      <c r="AS26" s="533"/>
      <c r="AT26" s="531"/>
      <c r="AU26" s="533"/>
      <c r="AV26" s="533"/>
      <c r="AW26" s="533"/>
      <c r="AX26" s="533"/>
      <c r="AY26" s="531"/>
      <c r="AZ26" s="531"/>
      <c r="BA26" s="531"/>
      <c r="BB26" s="531"/>
      <c r="BC26" s="531"/>
      <c r="BD26" s="531"/>
      <c r="BE26" s="531"/>
      <c r="BF26" s="531"/>
      <c r="BG26" s="531"/>
      <c r="BH26" s="531"/>
      <c r="BI26" s="531"/>
      <c r="BJ26" s="531"/>
      <c r="BK26" s="531"/>
      <c r="BL26" s="531"/>
      <c r="BM26" s="531"/>
      <c r="BN26" s="531"/>
      <c r="BO26" s="531"/>
    </row>
    <row r="27" spans="1:69" s="313" customFormat="1" ht="191.25" customHeight="1" x14ac:dyDescent="0.25">
      <c r="A27" s="1066" t="s">
        <v>820</v>
      </c>
      <c r="B27" s="1067" t="s">
        <v>903</v>
      </c>
      <c r="C27" s="954" t="s">
        <v>1048</v>
      </c>
      <c r="D27" s="954" t="s">
        <v>823</v>
      </c>
      <c r="E27" s="954">
        <v>2021</v>
      </c>
      <c r="F27" s="954">
        <v>2021</v>
      </c>
      <c r="G27" s="954" t="s">
        <v>621</v>
      </c>
      <c r="H27" s="1053">
        <f t="shared" si="6"/>
        <v>12.53</v>
      </c>
      <c r="I27" s="955">
        <f>'2 (цены с НДС)'!U27/1.2</f>
        <v>20.170000000000002</v>
      </c>
      <c r="J27" s="955" t="s">
        <v>621</v>
      </c>
      <c r="K27" s="955">
        <v>12.53</v>
      </c>
      <c r="L27" s="955">
        <f t="shared" si="7"/>
        <v>1</v>
      </c>
      <c r="M27" s="955">
        <f t="shared" si="8"/>
        <v>11.28</v>
      </c>
      <c r="N27" s="955">
        <v>0</v>
      </c>
      <c r="O27" s="1065">
        <f t="shared" si="5"/>
        <v>0.25</v>
      </c>
      <c r="P27" s="955">
        <f>'2 (цены с НДС)'!S27/1.2</f>
        <v>20.170000000000002</v>
      </c>
      <c r="Q27" s="955">
        <f>P27*5%</f>
        <v>1.01</v>
      </c>
      <c r="R27" s="955">
        <f t="shared" ref="R27:R47" si="17">P27-Q27-T27</f>
        <v>18.760000000000002</v>
      </c>
      <c r="S27" s="955">
        <f t="shared" si="16"/>
        <v>0</v>
      </c>
      <c r="T27" s="955">
        <f>P27*2%</f>
        <v>0.4</v>
      </c>
      <c r="U27" s="955" t="s">
        <v>621</v>
      </c>
      <c r="V27" s="955" t="s">
        <v>621</v>
      </c>
      <c r="W27" s="955" t="s">
        <v>621</v>
      </c>
      <c r="X27" s="955" t="s">
        <v>621</v>
      </c>
      <c r="Y27" s="955" t="s">
        <v>621</v>
      </c>
      <c r="Z27" s="955" t="s">
        <v>621</v>
      </c>
      <c r="AA27" s="955" t="s">
        <v>621</v>
      </c>
      <c r="AB27" s="955" t="s">
        <v>621</v>
      </c>
      <c r="AC27" s="955">
        <v>0</v>
      </c>
      <c r="AD27" s="955">
        <f t="shared" si="11"/>
        <v>0</v>
      </c>
      <c r="AE27" s="955">
        <f>K27</f>
        <v>12.53</v>
      </c>
      <c r="AF27" s="955">
        <f>I27</f>
        <v>20.170000000000002</v>
      </c>
      <c r="AG27" s="955">
        <v>0</v>
      </c>
      <c r="AH27" s="955">
        <f t="shared" si="12"/>
        <v>0</v>
      </c>
      <c r="AI27" s="955">
        <v>0</v>
      </c>
      <c r="AJ27" s="955">
        <f t="shared" si="13"/>
        <v>0</v>
      </c>
      <c r="AK27" s="955">
        <v>0</v>
      </c>
      <c r="AL27" s="955">
        <f t="shared" si="14"/>
        <v>0</v>
      </c>
      <c r="AM27" s="955">
        <f>AE27</f>
        <v>12.53</v>
      </c>
      <c r="AN27" s="927">
        <f t="shared" si="15"/>
        <v>20.170000000000002</v>
      </c>
      <c r="AO27" s="955" t="s">
        <v>621</v>
      </c>
      <c r="AQ27" s="533">
        <v>12.53</v>
      </c>
      <c r="AR27" s="532">
        <v>15.04</v>
      </c>
      <c r="AS27" s="533"/>
      <c r="AT27" s="531"/>
      <c r="AU27" s="533"/>
      <c r="AV27" s="531"/>
      <c r="AW27" s="533"/>
      <c r="AX27" s="533"/>
      <c r="AY27" s="531"/>
      <c r="AZ27" s="531"/>
      <c r="BA27" s="531"/>
      <c r="BB27" s="531"/>
      <c r="BC27" s="531"/>
      <c r="BD27" s="531"/>
      <c r="BE27" s="531"/>
      <c r="BF27" s="531"/>
      <c r="BG27" s="531"/>
      <c r="BH27" s="531"/>
      <c r="BI27" s="531"/>
      <c r="BJ27" s="531"/>
      <c r="BK27" s="531"/>
      <c r="BL27" s="531"/>
      <c r="BM27" s="531"/>
      <c r="BN27" s="531"/>
      <c r="BO27" s="531"/>
    </row>
    <row r="28" spans="1:69" s="313" customFormat="1" ht="165" customHeight="1" x14ac:dyDescent="0.25">
      <c r="A28" s="380" t="s">
        <v>863</v>
      </c>
      <c r="B28" s="400" t="s">
        <v>915</v>
      </c>
      <c r="C28" s="395" t="s">
        <v>1049</v>
      </c>
      <c r="D28" s="395" t="s">
        <v>823</v>
      </c>
      <c r="E28" s="395">
        <v>2021</v>
      </c>
      <c r="F28" s="395">
        <v>2021</v>
      </c>
      <c r="G28" s="395" t="s">
        <v>621</v>
      </c>
      <c r="H28" s="1053">
        <f t="shared" si="6"/>
        <v>20.86</v>
      </c>
      <c r="I28" s="927">
        <f>'2 (цены с НДС)'!U28/1.2</f>
        <v>0</v>
      </c>
      <c r="J28" s="927" t="s">
        <v>621</v>
      </c>
      <c r="K28" s="927">
        <v>20.86</v>
      </c>
      <c r="L28" s="927">
        <f t="shared" si="7"/>
        <v>1.67</v>
      </c>
      <c r="M28" s="927">
        <f t="shared" si="8"/>
        <v>18.77</v>
      </c>
      <c r="N28" s="927">
        <v>0</v>
      </c>
      <c r="O28" s="950">
        <f t="shared" si="5"/>
        <v>0.42</v>
      </c>
      <c r="P28" s="927">
        <f>'2 (цены с НДС)'!S28/1.2</f>
        <v>0</v>
      </c>
      <c r="Q28" s="927">
        <v>0</v>
      </c>
      <c r="R28" s="927">
        <f t="shared" si="17"/>
        <v>0</v>
      </c>
      <c r="S28" s="927">
        <f t="shared" si="16"/>
        <v>0</v>
      </c>
      <c r="T28" s="927">
        <v>0</v>
      </c>
      <c r="U28" s="927" t="s">
        <v>621</v>
      </c>
      <c r="V28" s="927" t="s">
        <v>621</v>
      </c>
      <c r="W28" s="927" t="s">
        <v>621</v>
      </c>
      <c r="X28" s="927" t="s">
        <v>621</v>
      </c>
      <c r="Y28" s="927" t="s">
        <v>621</v>
      </c>
      <c r="Z28" s="927" t="s">
        <v>621</v>
      </c>
      <c r="AA28" s="927" t="s">
        <v>621</v>
      </c>
      <c r="AB28" s="927" t="s">
        <v>621</v>
      </c>
      <c r="AC28" s="927">
        <v>0</v>
      </c>
      <c r="AD28" s="927">
        <f t="shared" si="11"/>
        <v>0</v>
      </c>
      <c r="AE28" s="927">
        <f>K28</f>
        <v>20.86</v>
      </c>
      <c r="AF28" s="927">
        <f t="shared" ref="AF28:AF46" si="18">I28</f>
        <v>0</v>
      </c>
      <c r="AG28" s="927">
        <v>0</v>
      </c>
      <c r="AH28" s="927">
        <f t="shared" si="12"/>
        <v>0</v>
      </c>
      <c r="AI28" s="927">
        <v>0</v>
      </c>
      <c r="AJ28" s="927">
        <f t="shared" si="13"/>
        <v>0</v>
      </c>
      <c r="AK28" s="927">
        <v>0</v>
      </c>
      <c r="AL28" s="927">
        <f t="shared" si="14"/>
        <v>0</v>
      </c>
      <c r="AM28" s="927">
        <f>AE28</f>
        <v>20.86</v>
      </c>
      <c r="AN28" s="927">
        <f t="shared" si="15"/>
        <v>0</v>
      </c>
      <c r="AO28" s="927" t="s">
        <v>621</v>
      </c>
      <c r="AQ28" s="533">
        <v>20.86</v>
      </c>
      <c r="AR28" s="532">
        <v>25.03</v>
      </c>
      <c r="AS28" s="533"/>
      <c r="AT28" s="531"/>
      <c r="AU28" s="533"/>
      <c r="AV28" s="531"/>
      <c r="AW28" s="533"/>
      <c r="AX28" s="533"/>
      <c r="AY28" s="531"/>
      <c r="AZ28" s="531"/>
      <c r="BA28" s="531"/>
      <c r="BB28" s="531"/>
      <c r="BC28" s="531"/>
      <c r="BD28" s="531"/>
      <c r="BE28" s="531"/>
      <c r="BF28" s="531"/>
      <c r="BG28" s="531"/>
      <c r="BH28" s="531"/>
      <c r="BI28" s="531"/>
      <c r="BJ28" s="531"/>
      <c r="BK28" s="531"/>
      <c r="BL28" s="531"/>
      <c r="BM28" s="531"/>
      <c r="BN28" s="531"/>
      <c r="BO28" s="531"/>
    </row>
    <row r="29" spans="1:69" s="313" customFormat="1" ht="122.25" customHeight="1" x14ac:dyDescent="0.25">
      <c r="A29" s="380" t="s">
        <v>864</v>
      </c>
      <c r="B29" s="951" t="s">
        <v>818</v>
      </c>
      <c r="C29" s="952" t="s">
        <v>1050</v>
      </c>
      <c r="D29" s="952" t="s">
        <v>823</v>
      </c>
      <c r="E29" s="952">
        <v>2022</v>
      </c>
      <c r="F29" s="952">
        <v>2022</v>
      </c>
      <c r="G29" s="952" t="s">
        <v>621</v>
      </c>
      <c r="H29" s="1053">
        <f t="shared" si="6"/>
        <v>5.21</v>
      </c>
      <c r="I29" s="927">
        <v>5.47</v>
      </c>
      <c r="J29" s="953" t="s">
        <v>621</v>
      </c>
      <c r="K29" s="953">
        <v>5.21</v>
      </c>
      <c r="L29" s="927">
        <f t="shared" si="7"/>
        <v>0.42</v>
      </c>
      <c r="M29" s="927">
        <f t="shared" si="8"/>
        <v>4.6900000000000004</v>
      </c>
      <c r="N29" s="953">
        <v>0</v>
      </c>
      <c r="O29" s="950">
        <f t="shared" si="5"/>
        <v>0.1</v>
      </c>
      <c r="P29" s="927">
        <f>'2 (цены с НДС)'!S29/1.2</f>
        <v>5.47</v>
      </c>
      <c r="Q29" s="927">
        <f t="shared" si="9"/>
        <v>0.42</v>
      </c>
      <c r="R29" s="927">
        <f t="shared" si="17"/>
        <v>4.95</v>
      </c>
      <c r="S29" s="927">
        <f t="shared" si="16"/>
        <v>0</v>
      </c>
      <c r="T29" s="927">
        <f t="shared" si="10"/>
        <v>0.1</v>
      </c>
      <c r="U29" s="953" t="s">
        <v>621</v>
      </c>
      <c r="V29" s="953" t="s">
        <v>621</v>
      </c>
      <c r="W29" s="953" t="s">
        <v>621</v>
      </c>
      <c r="X29" s="953" t="s">
        <v>621</v>
      </c>
      <c r="Y29" s="953" t="s">
        <v>621</v>
      </c>
      <c r="Z29" s="953" t="s">
        <v>621</v>
      </c>
      <c r="AA29" s="953" t="s">
        <v>621</v>
      </c>
      <c r="AB29" s="953" t="s">
        <v>621</v>
      </c>
      <c r="AC29" s="927">
        <v>0</v>
      </c>
      <c r="AD29" s="927">
        <f t="shared" si="11"/>
        <v>0</v>
      </c>
      <c r="AE29" s="927">
        <v>0</v>
      </c>
      <c r="AF29" s="927">
        <v>0</v>
      </c>
      <c r="AG29" s="927">
        <v>5.21</v>
      </c>
      <c r="AH29" s="927">
        <f>P29</f>
        <v>5.47</v>
      </c>
      <c r="AI29" s="927">
        <v>0</v>
      </c>
      <c r="AJ29" s="927">
        <f t="shared" si="13"/>
        <v>0</v>
      </c>
      <c r="AK29" s="927">
        <v>0</v>
      </c>
      <c r="AL29" s="927">
        <f t="shared" si="14"/>
        <v>0</v>
      </c>
      <c r="AM29" s="927">
        <f>AG29</f>
        <v>5.21</v>
      </c>
      <c r="AN29" s="927">
        <f t="shared" si="15"/>
        <v>5.47</v>
      </c>
      <c r="AO29" s="927" t="s">
        <v>621</v>
      </c>
      <c r="AQ29" s="533">
        <v>5.21</v>
      </c>
      <c r="AR29" s="532">
        <v>0</v>
      </c>
      <c r="AS29" s="533"/>
      <c r="AT29" s="531"/>
      <c r="AU29" s="533"/>
      <c r="AV29" s="531"/>
      <c r="AW29" s="533"/>
      <c r="AX29" s="533"/>
      <c r="AY29" s="531"/>
      <c r="AZ29" s="531"/>
      <c r="BA29" s="531"/>
      <c r="BB29" s="531"/>
      <c r="BC29" s="531"/>
      <c r="BD29" s="531"/>
      <c r="BE29" s="531"/>
      <c r="BF29" s="531"/>
      <c r="BG29" s="531"/>
      <c r="BH29" s="531"/>
      <c r="BI29" s="531"/>
      <c r="BJ29" s="531"/>
      <c r="BK29" s="531"/>
      <c r="BL29" s="531"/>
      <c r="BM29" s="531"/>
      <c r="BN29" s="531"/>
      <c r="BO29" s="531"/>
    </row>
    <row r="30" spans="1:69" s="313" customFormat="1" ht="159.75" customHeight="1" x14ac:dyDescent="0.25">
      <c r="A30" s="380" t="s">
        <v>868</v>
      </c>
      <c r="B30" s="951" t="s">
        <v>870</v>
      </c>
      <c r="C30" s="952" t="s">
        <v>1051</v>
      </c>
      <c r="D30" s="952" t="s">
        <v>823</v>
      </c>
      <c r="E30" s="952">
        <v>2022</v>
      </c>
      <c r="F30" s="952">
        <v>2022</v>
      </c>
      <c r="G30" s="952" t="s">
        <v>621</v>
      </c>
      <c r="H30" s="1053">
        <f t="shared" si="6"/>
        <v>5.51</v>
      </c>
      <c r="I30" s="927">
        <f>'2 (цены с НДС)'!U30/1.2</f>
        <v>0</v>
      </c>
      <c r="J30" s="953" t="s">
        <v>621</v>
      </c>
      <c r="K30" s="953">
        <v>5.51</v>
      </c>
      <c r="L30" s="927">
        <f t="shared" si="7"/>
        <v>0.44</v>
      </c>
      <c r="M30" s="927">
        <f t="shared" si="8"/>
        <v>4.96</v>
      </c>
      <c r="N30" s="953">
        <v>0</v>
      </c>
      <c r="O30" s="950">
        <f t="shared" si="5"/>
        <v>0.11</v>
      </c>
      <c r="P30" s="927">
        <f>'2 (цены с НДС)'!S30/1.2</f>
        <v>0</v>
      </c>
      <c r="Q30" s="927">
        <f>P30</f>
        <v>0</v>
      </c>
      <c r="R30" s="927">
        <v>0</v>
      </c>
      <c r="S30" s="927">
        <f t="shared" si="16"/>
        <v>0</v>
      </c>
      <c r="T30" s="927">
        <v>0</v>
      </c>
      <c r="U30" s="953" t="s">
        <v>621</v>
      </c>
      <c r="V30" s="953" t="s">
        <v>621</v>
      </c>
      <c r="W30" s="953" t="s">
        <v>621</v>
      </c>
      <c r="X30" s="953" t="s">
        <v>621</v>
      </c>
      <c r="Y30" s="953" t="s">
        <v>621</v>
      </c>
      <c r="Z30" s="953" t="s">
        <v>621</v>
      </c>
      <c r="AA30" s="953" t="s">
        <v>621</v>
      </c>
      <c r="AB30" s="953" t="s">
        <v>621</v>
      </c>
      <c r="AC30" s="927">
        <v>0</v>
      </c>
      <c r="AD30" s="927">
        <f t="shared" si="11"/>
        <v>0</v>
      </c>
      <c r="AE30" s="927">
        <v>0</v>
      </c>
      <c r="AF30" s="927">
        <f t="shared" si="18"/>
        <v>0</v>
      </c>
      <c r="AG30" s="927">
        <v>5.51</v>
      </c>
      <c r="AH30" s="927">
        <v>0</v>
      </c>
      <c r="AI30" s="927">
        <v>0</v>
      </c>
      <c r="AJ30" s="927">
        <f t="shared" si="13"/>
        <v>0</v>
      </c>
      <c r="AK30" s="927">
        <v>0</v>
      </c>
      <c r="AL30" s="927">
        <f t="shared" si="14"/>
        <v>0</v>
      </c>
      <c r="AM30" s="927">
        <f>AG30</f>
        <v>5.51</v>
      </c>
      <c r="AN30" s="927">
        <f t="shared" si="15"/>
        <v>0</v>
      </c>
      <c r="AO30" s="927" t="s">
        <v>621</v>
      </c>
      <c r="AQ30" s="533">
        <v>5.51</v>
      </c>
      <c r="AR30" s="532">
        <v>0</v>
      </c>
      <c r="AS30" s="533"/>
      <c r="AT30" s="531"/>
      <c r="AU30" s="533"/>
      <c r="AV30" s="531"/>
      <c r="AW30" s="533"/>
      <c r="AX30" s="533"/>
      <c r="AY30" s="531"/>
      <c r="AZ30" s="531"/>
      <c r="BA30" s="531"/>
      <c r="BB30" s="531"/>
      <c r="BC30" s="531"/>
      <c r="BD30" s="531"/>
      <c r="BE30" s="531"/>
      <c r="BF30" s="531"/>
      <c r="BG30" s="531"/>
      <c r="BH30" s="531"/>
      <c r="BI30" s="531"/>
      <c r="BJ30" s="531"/>
      <c r="BK30" s="531"/>
      <c r="BL30" s="531"/>
      <c r="BM30" s="531"/>
      <c r="BN30" s="531"/>
      <c r="BO30" s="531"/>
    </row>
    <row r="31" spans="1:69" s="313" customFormat="1" ht="309.75" customHeight="1" x14ac:dyDescent="0.25">
      <c r="A31" s="380" t="s">
        <v>869</v>
      </c>
      <c r="B31" s="381" t="s">
        <v>876</v>
      </c>
      <c r="C31" s="395" t="s">
        <v>1052</v>
      </c>
      <c r="D31" s="395" t="s">
        <v>823</v>
      </c>
      <c r="E31" s="395">
        <v>2023</v>
      </c>
      <c r="F31" s="395">
        <v>2023</v>
      </c>
      <c r="G31" s="395" t="s">
        <v>621</v>
      </c>
      <c r="H31" s="1053">
        <f t="shared" si="6"/>
        <v>47.19</v>
      </c>
      <c r="I31" s="927">
        <f>'2 (цены с НДС)'!U31/1.2</f>
        <v>50.32</v>
      </c>
      <c r="J31" s="927" t="s">
        <v>621</v>
      </c>
      <c r="K31" s="927">
        <v>47.19</v>
      </c>
      <c r="L31" s="927">
        <f t="shared" si="7"/>
        <v>3.78</v>
      </c>
      <c r="M31" s="927">
        <f t="shared" si="8"/>
        <v>42.47</v>
      </c>
      <c r="N31" s="927">
        <v>0</v>
      </c>
      <c r="O31" s="950">
        <f t="shared" si="5"/>
        <v>0.94</v>
      </c>
      <c r="P31" s="927">
        <f>'2 (цены с НДС)'!S31/1.2</f>
        <v>50.32</v>
      </c>
      <c r="Q31" s="927">
        <f t="shared" si="9"/>
        <v>3.78</v>
      </c>
      <c r="R31" s="927">
        <f t="shared" si="17"/>
        <v>45.6</v>
      </c>
      <c r="S31" s="927">
        <f t="shared" si="16"/>
        <v>0</v>
      </c>
      <c r="T31" s="927">
        <f t="shared" si="10"/>
        <v>0.94</v>
      </c>
      <c r="U31" s="927" t="s">
        <v>621</v>
      </c>
      <c r="V31" s="927" t="s">
        <v>621</v>
      </c>
      <c r="W31" s="927" t="s">
        <v>621</v>
      </c>
      <c r="X31" s="927" t="s">
        <v>621</v>
      </c>
      <c r="Y31" s="927" t="s">
        <v>621</v>
      </c>
      <c r="Z31" s="927" t="s">
        <v>621</v>
      </c>
      <c r="AA31" s="927" t="s">
        <v>621</v>
      </c>
      <c r="AB31" s="927" t="s">
        <v>621</v>
      </c>
      <c r="AC31" s="927">
        <v>0</v>
      </c>
      <c r="AD31" s="927">
        <f t="shared" si="11"/>
        <v>0</v>
      </c>
      <c r="AE31" s="927">
        <v>0</v>
      </c>
      <c r="AF31" s="927">
        <v>0</v>
      </c>
      <c r="AG31" s="927">
        <v>0</v>
      </c>
      <c r="AH31" s="927">
        <f t="shared" si="12"/>
        <v>0</v>
      </c>
      <c r="AI31" s="927">
        <v>47.19</v>
      </c>
      <c r="AJ31" s="927">
        <f>AN31</f>
        <v>50.32</v>
      </c>
      <c r="AK31" s="927">
        <v>0</v>
      </c>
      <c r="AL31" s="927">
        <f t="shared" si="14"/>
        <v>0</v>
      </c>
      <c r="AM31" s="927">
        <f>AI31</f>
        <v>47.19</v>
      </c>
      <c r="AN31" s="927">
        <f t="shared" si="15"/>
        <v>50.32</v>
      </c>
      <c r="AO31" s="927" t="s">
        <v>621</v>
      </c>
      <c r="AQ31" s="533">
        <v>47.19</v>
      </c>
      <c r="AR31" s="532">
        <v>0</v>
      </c>
      <c r="AS31" s="533"/>
      <c r="AT31" s="531"/>
      <c r="AU31" s="533"/>
      <c r="AV31" s="531"/>
      <c r="AW31" s="533"/>
      <c r="AX31" s="533"/>
      <c r="AY31" s="531"/>
      <c r="AZ31" s="531"/>
      <c r="BA31" s="531"/>
      <c r="BB31" s="531"/>
      <c r="BC31" s="531"/>
      <c r="BD31" s="531"/>
      <c r="BE31" s="531"/>
      <c r="BF31" s="531"/>
      <c r="BG31" s="531"/>
      <c r="BH31" s="531"/>
      <c r="BI31" s="531"/>
      <c r="BJ31" s="531"/>
      <c r="BK31" s="531"/>
      <c r="BL31" s="531"/>
      <c r="BM31" s="531"/>
      <c r="BN31" s="531"/>
      <c r="BO31" s="531"/>
    </row>
    <row r="32" spans="1:69" s="313" customFormat="1" ht="86.25" customHeight="1" x14ac:dyDescent="0.25">
      <c r="A32" s="380" t="s">
        <v>874</v>
      </c>
      <c r="B32" s="381" t="s">
        <v>821</v>
      </c>
      <c r="C32" s="395" t="s">
        <v>1053</v>
      </c>
      <c r="D32" s="395" t="s">
        <v>823</v>
      </c>
      <c r="E32" s="395">
        <v>2024</v>
      </c>
      <c r="F32" s="395">
        <v>2024</v>
      </c>
      <c r="G32" s="395" t="s">
        <v>621</v>
      </c>
      <c r="H32" s="1053">
        <f t="shared" si="6"/>
        <v>13.93</v>
      </c>
      <c r="I32" s="927">
        <f>'2 (цены с НДС)'!U32/1.2</f>
        <v>15.12</v>
      </c>
      <c r="J32" s="927" t="s">
        <v>621</v>
      </c>
      <c r="K32" s="927">
        <v>13.93</v>
      </c>
      <c r="L32" s="927">
        <f t="shared" si="7"/>
        <v>1.1100000000000001</v>
      </c>
      <c r="M32" s="927">
        <f t="shared" si="8"/>
        <v>12.54</v>
      </c>
      <c r="N32" s="927">
        <v>0</v>
      </c>
      <c r="O32" s="950">
        <f t="shared" si="5"/>
        <v>0.28000000000000003</v>
      </c>
      <c r="P32" s="927">
        <f>'2 (цены с НДС)'!S32/1.2</f>
        <v>15.12</v>
      </c>
      <c r="Q32" s="927">
        <f t="shared" si="9"/>
        <v>1.1100000000000001</v>
      </c>
      <c r="R32" s="927">
        <f t="shared" si="17"/>
        <v>13.73</v>
      </c>
      <c r="S32" s="927">
        <f t="shared" si="16"/>
        <v>0</v>
      </c>
      <c r="T32" s="927">
        <f t="shared" si="10"/>
        <v>0.28000000000000003</v>
      </c>
      <c r="U32" s="927" t="s">
        <v>621</v>
      </c>
      <c r="V32" s="927" t="s">
        <v>621</v>
      </c>
      <c r="W32" s="927" t="s">
        <v>621</v>
      </c>
      <c r="X32" s="927" t="s">
        <v>621</v>
      </c>
      <c r="Y32" s="927" t="s">
        <v>621</v>
      </c>
      <c r="Z32" s="927" t="s">
        <v>621</v>
      </c>
      <c r="AA32" s="927" t="s">
        <v>621</v>
      </c>
      <c r="AB32" s="927" t="s">
        <v>621</v>
      </c>
      <c r="AC32" s="927">
        <v>0</v>
      </c>
      <c r="AD32" s="927">
        <f t="shared" si="11"/>
        <v>0</v>
      </c>
      <c r="AE32" s="927">
        <v>0</v>
      </c>
      <c r="AF32" s="927">
        <v>0</v>
      </c>
      <c r="AG32" s="927">
        <v>0</v>
      </c>
      <c r="AH32" s="927">
        <f t="shared" si="12"/>
        <v>0</v>
      </c>
      <c r="AI32" s="927">
        <v>0</v>
      </c>
      <c r="AJ32" s="927">
        <f t="shared" si="13"/>
        <v>0</v>
      </c>
      <c r="AK32" s="927">
        <v>13.93</v>
      </c>
      <c r="AL32" s="927">
        <f>AN32</f>
        <v>15.12</v>
      </c>
      <c r="AM32" s="927">
        <f>AK32</f>
        <v>13.93</v>
      </c>
      <c r="AN32" s="927">
        <f t="shared" si="15"/>
        <v>15.12</v>
      </c>
      <c r="AO32" s="927" t="s">
        <v>621</v>
      </c>
      <c r="AQ32" s="533">
        <v>13.93</v>
      </c>
      <c r="AR32" s="532">
        <v>0</v>
      </c>
      <c r="AS32" s="533"/>
      <c r="AT32" s="531"/>
      <c r="AU32" s="533"/>
      <c r="AV32" s="531"/>
      <c r="AW32" s="533"/>
      <c r="AX32" s="533"/>
      <c r="AY32" s="531"/>
      <c r="AZ32" s="531"/>
      <c r="BA32" s="531"/>
      <c r="BB32" s="531"/>
      <c r="BC32" s="531"/>
      <c r="BD32" s="531"/>
      <c r="BE32" s="531"/>
      <c r="BF32" s="531"/>
      <c r="BG32" s="531"/>
      <c r="BH32" s="531"/>
      <c r="BI32" s="531"/>
      <c r="BJ32" s="531"/>
      <c r="BK32" s="531"/>
      <c r="BL32" s="531"/>
      <c r="BM32" s="531"/>
      <c r="BN32" s="531"/>
      <c r="BO32" s="531"/>
    </row>
    <row r="33" spans="1:67" s="313" customFormat="1" ht="165" customHeight="1" x14ac:dyDescent="0.25">
      <c r="A33" s="380" t="s">
        <v>875</v>
      </c>
      <c r="B33" s="381" t="s">
        <v>1042</v>
      </c>
      <c r="C33" s="395" t="s">
        <v>1054</v>
      </c>
      <c r="D33" s="395" t="s">
        <v>823</v>
      </c>
      <c r="E33" s="395">
        <v>2024</v>
      </c>
      <c r="F33" s="395">
        <v>2024</v>
      </c>
      <c r="G33" s="395" t="s">
        <v>621</v>
      </c>
      <c r="H33" s="1053">
        <f t="shared" si="6"/>
        <v>1.42</v>
      </c>
      <c r="I33" s="927">
        <f>'2 (цены с НДС)'!U33/1.2</f>
        <v>1.54</v>
      </c>
      <c r="J33" s="927" t="s">
        <v>621</v>
      </c>
      <c r="K33" s="927">
        <v>1.42</v>
      </c>
      <c r="L33" s="927">
        <f t="shared" si="7"/>
        <v>0.11</v>
      </c>
      <c r="M33" s="927">
        <f t="shared" si="8"/>
        <v>1.28</v>
      </c>
      <c r="N33" s="927">
        <v>0</v>
      </c>
      <c r="O33" s="950">
        <f t="shared" si="5"/>
        <v>0.03</v>
      </c>
      <c r="P33" s="927">
        <f>'2 (цены с НДС)'!S33/1.2</f>
        <v>1.54</v>
      </c>
      <c r="Q33" s="927">
        <f t="shared" si="9"/>
        <v>0.11</v>
      </c>
      <c r="R33" s="927">
        <f t="shared" si="17"/>
        <v>1.4</v>
      </c>
      <c r="S33" s="927">
        <f t="shared" si="16"/>
        <v>0</v>
      </c>
      <c r="T33" s="927">
        <f t="shared" si="10"/>
        <v>0.03</v>
      </c>
      <c r="U33" s="927" t="s">
        <v>621</v>
      </c>
      <c r="V33" s="927" t="s">
        <v>621</v>
      </c>
      <c r="W33" s="927" t="s">
        <v>621</v>
      </c>
      <c r="X33" s="927" t="s">
        <v>621</v>
      </c>
      <c r="Y33" s="927" t="s">
        <v>621</v>
      </c>
      <c r="Z33" s="927" t="s">
        <v>621</v>
      </c>
      <c r="AA33" s="927" t="s">
        <v>621</v>
      </c>
      <c r="AB33" s="927" t="s">
        <v>621</v>
      </c>
      <c r="AC33" s="927">
        <v>0</v>
      </c>
      <c r="AD33" s="927">
        <f t="shared" si="11"/>
        <v>0</v>
      </c>
      <c r="AE33" s="927">
        <v>0</v>
      </c>
      <c r="AF33" s="927">
        <v>0</v>
      </c>
      <c r="AG33" s="927">
        <v>0</v>
      </c>
      <c r="AH33" s="927">
        <f t="shared" si="12"/>
        <v>0</v>
      </c>
      <c r="AI33" s="927">
        <v>0</v>
      </c>
      <c r="AJ33" s="927">
        <f t="shared" si="13"/>
        <v>0</v>
      </c>
      <c r="AK33" s="927">
        <v>1.42</v>
      </c>
      <c r="AL33" s="927">
        <f>AN33</f>
        <v>1.54</v>
      </c>
      <c r="AM33" s="927">
        <f>AK33</f>
        <v>1.42</v>
      </c>
      <c r="AN33" s="927">
        <f t="shared" si="15"/>
        <v>1.54</v>
      </c>
      <c r="AO33" s="927" t="s">
        <v>621</v>
      </c>
      <c r="AQ33" s="533">
        <v>1.42</v>
      </c>
      <c r="AR33" s="532">
        <v>0</v>
      </c>
      <c r="AS33" s="533"/>
      <c r="AT33" s="531"/>
      <c r="AU33" s="533"/>
      <c r="AV33" s="531"/>
      <c r="AW33" s="533"/>
      <c r="AX33" s="533"/>
      <c r="AY33" s="531"/>
      <c r="AZ33" s="531"/>
      <c r="BA33" s="531"/>
      <c r="BB33" s="531"/>
      <c r="BC33" s="531"/>
      <c r="BD33" s="531"/>
      <c r="BE33" s="531"/>
      <c r="BF33" s="531"/>
      <c r="BG33" s="531"/>
      <c r="BH33" s="531"/>
      <c r="BI33" s="531"/>
      <c r="BJ33" s="531"/>
      <c r="BK33" s="531"/>
      <c r="BL33" s="531"/>
      <c r="BM33" s="531"/>
      <c r="BN33" s="531"/>
      <c r="BO33" s="531"/>
    </row>
    <row r="34" spans="1:67" s="313" customFormat="1" ht="78.75" customHeight="1" x14ac:dyDescent="0.25">
      <c r="A34" s="380" t="s">
        <v>884</v>
      </c>
      <c r="B34" s="381" t="s">
        <v>901</v>
      </c>
      <c r="C34" s="395" t="s">
        <v>1055</v>
      </c>
      <c r="D34" s="395" t="s">
        <v>823</v>
      </c>
      <c r="E34" s="395">
        <v>2024</v>
      </c>
      <c r="F34" s="395">
        <v>2024</v>
      </c>
      <c r="G34" s="395" t="s">
        <v>621</v>
      </c>
      <c r="H34" s="1053">
        <f t="shared" si="6"/>
        <v>10.7</v>
      </c>
      <c r="I34" s="927">
        <f>'2 (цены с НДС)'!U34/1.2</f>
        <v>11.61</v>
      </c>
      <c r="J34" s="927" t="s">
        <v>621</v>
      </c>
      <c r="K34" s="927">
        <v>10.7</v>
      </c>
      <c r="L34" s="927">
        <f t="shared" si="7"/>
        <v>0.86</v>
      </c>
      <c r="M34" s="927">
        <f t="shared" si="8"/>
        <v>9.6300000000000008</v>
      </c>
      <c r="N34" s="927">
        <v>0</v>
      </c>
      <c r="O34" s="950">
        <f t="shared" si="5"/>
        <v>0.21</v>
      </c>
      <c r="P34" s="927">
        <f>'2 (цены с НДС)'!S34/1.2</f>
        <v>11.61</v>
      </c>
      <c r="Q34" s="927">
        <f t="shared" si="9"/>
        <v>0.86</v>
      </c>
      <c r="R34" s="927">
        <f t="shared" si="17"/>
        <v>10.54</v>
      </c>
      <c r="S34" s="927">
        <f t="shared" si="16"/>
        <v>0</v>
      </c>
      <c r="T34" s="927">
        <f t="shared" si="10"/>
        <v>0.21</v>
      </c>
      <c r="U34" s="927" t="s">
        <v>621</v>
      </c>
      <c r="V34" s="927" t="s">
        <v>621</v>
      </c>
      <c r="W34" s="927" t="s">
        <v>621</v>
      </c>
      <c r="X34" s="927" t="s">
        <v>621</v>
      </c>
      <c r="Y34" s="927" t="s">
        <v>621</v>
      </c>
      <c r="Z34" s="927" t="s">
        <v>621</v>
      </c>
      <c r="AA34" s="927" t="s">
        <v>621</v>
      </c>
      <c r="AB34" s="927" t="s">
        <v>621</v>
      </c>
      <c r="AC34" s="927">
        <v>0</v>
      </c>
      <c r="AD34" s="927">
        <f t="shared" si="11"/>
        <v>0</v>
      </c>
      <c r="AE34" s="927">
        <v>0</v>
      </c>
      <c r="AF34" s="927">
        <v>0</v>
      </c>
      <c r="AG34" s="927">
        <v>0</v>
      </c>
      <c r="AH34" s="927">
        <f t="shared" si="12"/>
        <v>0</v>
      </c>
      <c r="AI34" s="927">
        <v>0</v>
      </c>
      <c r="AJ34" s="927">
        <f t="shared" si="13"/>
        <v>0</v>
      </c>
      <c r="AK34" s="927">
        <v>10.7</v>
      </c>
      <c r="AL34" s="927">
        <f>AN34</f>
        <v>11.61</v>
      </c>
      <c r="AM34" s="927">
        <f>AK34</f>
        <v>10.7</v>
      </c>
      <c r="AN34" s="927">
        <f t="shared" si="15"/>
        <v>11.61</v>
      </c>
      <c r="AO34" s="927" t="s">
        <v>621</v>
      </c>
      <c r="AQ34" s="533">
        <v>10.7</v>
      </c>
      <c r="AR34" s="532">
        <v>0</v>
      </c>
      <c r="AS34" s="533"/>
      <c r="AT34" s="531"/>
      <c r="AU34" s="533"/>
      <c r="AV34" s="531"/>
      <c r="AW34" s="533"/>
      <c r="AX34" s="533"/>
      <c r="AY34" s="531"/>
      <c r="AZ34" s="531"/>
      <c r="BA34" s="531"/>
      <c r="BB34" s="531"/>
      <c r="BC34" s="531"/>
      <c r="BD34" s="531"/>
      <c r="BE34" s="531"/>
      <c r="BF34" s="531"/>
      <c r="BG34" s="531"/>
      <c r="BH34" s="531"/>
      <c r="BI34" s="531"/>
      <c r="BJ34" s="531"/>
      <c r="BK34" s="531"/>
      <c r="BL34" s="531"/>
      <c r="BM34" s="531"/>
      <c r="BN34" s="531"/>
      <c r="BO34" s="531"/>
    </row>
    <row r="35" spans="1:67" s="313" customFormat="1" ht="120" customHeight="1" x14ac:dyDescent="0.25">
      <c r="A35" s="380" t="s">
        <v>1659</v>
      </c>
      <c r="B35" s="381" t="s">
        <v>1671</v>
      </c>
      <c r="C35" s="395" t="s">
        <v>1683</v>
      </c>
      <c r="D35" s="395" t="s">
        <v>823</v>
      </c>
      <c r="E35" s="395">
        <f t="shared" ref="E35:F45" si="19">E36</f>
        <v>2021</v>
      </c>
      <c r="F35" s="395" t="str">
        <f t="shared" si="19"/>
        <v>нд</v>
      </c>
      <c r="G35" s="395">
        <v>2021</v>
      </c>
      <c r="H35" s="927">
        <f>'2 (цены с НДС)'!P35/1.2</f>
        <v>0</v>
      </c>
      <c r="I35" s="927">
        <f>'2 (цены с НДС)'!U35/1.2</f>
        <v>5.35</v>
      </c>
      <c r="J35" s="927" t="s">
        <v>621</v>
      </c>
      <c r="K35" s="927">
        <v>0</v>
      </c>
      <c r="L35" s="927" t="s">
        <v>621</v>
      </c>
      <c r="M35" s="927" t="s">
        <v>621</v>
      </c>
      <c r="N35" s="927" t="s">
        <v>621</v>
      </c>
      <c r="O35" s="927" t="s">
        <v>621</v>
      </c>
      <c r="P35" s="927">
        <f>'2 (цены с НДС)'!S35/1.2</f>
        <v>5.35</v>
      </c>
      <c r="Q35" s="927">
        <f>P35*5%</f>
        <v>0.27</v>
      </c>
      <c r="R35" s="927">
        <f t="shared" si="17"/>
        <v>4.97</v>
      </c>
      <c r="S35" s="927">
        <v>0</v>
      </c>
      <c r="T35" s="927">
        <f>P35*2%</f>
        <v>0.11</v>
      </c>
      <c r="U35" s="927" t="s">
        <v>621</v>
      </c>
      <c r="V35" s="927" t="s">
        <v>621</v>
      </c>
      <c r="W35" s="927" t="s">
        <v>621</v>
      </c>
      <c r="X35" s="927" t="s">
        <v>621</v>
      </c>
      <c r="Y35" s="927" t="s">
        <v>621</v>
      </c>
      <c r="Z35" s="927" t="s">
        <v>621</v>
      </c>
      <c r="AA35" s="927" t="s">
        <v>621</v>
      </c>
      <c r="AB35" s="927" t="s">
        <v>621</v>
      </c>
      <c r="AC35" s="927">
        <v>0</v>
      </c>
      <c r="AD35" s="927">
        <f t="shared" si="11"/>
        <v>0</v>
      </c>
      <c r="AE35" s="927">
        <v>0</v>
      </c>
      <c r="AF35" s="927">
        <f t="shared" si="18"/>
        <v>5.35</v>
      </c>
      <c r="AG35" s="927">
        <v>0</v>
      </c>
      <c r="AH35" s="927">
        <f t="shared" si="12"/>
        <v>0</v>
      </c>
      <c r="AI35" s="927">
        <v>0</v>
      </c>
      <c r="AJ35" s="927">
        <f t="shared" si="13"/>
        <v>0</v>
      </c>
      <c r="AK35" s="927">
        <v>0</v>
      </c>
      <c r="AL35" s="927">
        <v>0</v>
      </c>
      <c r="AM35" s="927">
        <f>0</f>
        <v>0</v>
      </c>
      <c r="AN35" s="927">
        <f t="shared" si="15"/>
        <v>5.35</v>
      </c>
      <c r="AO35" s="927"/>
      <c r="AQ35" s="533"/>
      <c r="AR35" s="532"/>
      <c r="AS35" s="533"/>
      <c r="AT35" s="531"/>
      <c r="AU35" s="533"/>
      <c r="AV35" s="531"/>
      <c r="AW35" s="533"/>
      <c r="AX35" s="533"/>
      <c r="AY35" s="531"/>
      <c r="AZ35" s="531"/>
      <c r="BA35" s="531"/>
      <c r="BB35" s="531"/>
      <c r="BC35" s="531"/>
      <c r="BD35" s="531"/>
      <c r="BE35" s="531"/>
      <c r="BF35" s="531"/>
      <c r="BG35" s="531"/>
      <c r="BH35" s="531"/>
      <c r="BI35" s="531"/>
      <c r="BJ35" s="531"/>
      <c r="BK35" s="531"/>
      <c r="BL35" s="531"/>
      <c r="BM35" s="531"/>
      <c r="BN35" s="531"/>
      <c r="BO35" s="531"/>
    </row>
    <row r="36" spans="1:67" s="313" customFormat="1" ht="91.5" customHeight="1" x14ac:dyDescent="0.25">
      <c r="A36" s="380" t="s">
        <v>1660</v>
      </c>
      <c r="B36" s="381" t="s">
        <v>1672</v>
      </c>
      <c r="C36" s="395" t="s">
        <v>1684</v>
      </c>
      <c r="D36" s="395" t="s">
        <v>823</v>
      </c>
      <c r="E36" s="395">
        <f t="shared" si="19"/>
        <v>2021</v>
      </c>
      <c r="F36" s="395" t="str">
        <f t="shared" si="19"/>
        <v>нд</v>
      </c>
      <c r="G36" s="395">
        <v>2021</v>
      </c>
      <c r="H36" s="927">
        <f>'2 (цены с НДС)'!P36/1.2</f>
        <v>0</v>
      </c>
      <c r="I36" s="927">
        <f>'2 (цены с НДС)'!U36/1.2</f>
        <v>1.96</v>
      </c>
      <c r="J36" s="927" t="s">
        <v>621</v>
      </c>
      <c r="K36" s="927">
        <v>0</v>
      </c>
      <c r="L36" s="927" t="s">
        <v>621</v>
      </c>
      <c r="M36" s="927" t="s">
        <v>621</v>
      </c>
      <c r="N36" s="927" t="s">
        <v>621</v>
      </c>
      <c r="O36" s="927" t="s">
        <v>621</v>
      </c>
      <c r="P36" s="927">
        <f>'2 (цены с НДС)'!S36/1.2</f>
        <v>1.96</v>
      </c>
      <c r="Q36" s="927">
        <f t="shared" ref="Q36:Q47" si="20">P36*5%</f>
        <v>0.1</v>
      </c>
      <c r="R36" s="927">
        <f t="shared" si="17"/>
        <v>1.82</v>
      </c>
      <c r="S36" s="927">
        <v>0</v>
      </c>
      <c r="T36" s="927">
        <f t="shared" ref="T36:T46" si="21">P36*2%</f>
        <v>0.04</v>
      </c>
      <c r="U36" s="927" t="s">
        <v>621</v>
      </c>
      <c r="V36" s="927" t="s">
        <v>621</v>
      </c>
      <c r="W36" s="927" t="s">
        <v>621</v>
      </c>
      <c r="X36" s="927" t="s">
        <v>621</v>
      </c>
      <c r="Y36" s="927" t="s">
        <v>621</v>
      </c>
      <c r="Z36" s="927" t="s">
        <v>621</v>
      </c>
      <c r="AA36" s="927" t="s">
        <v>621</v>
      </c>
      <c r="AB36" s="927" t="s">
        <v>621</v>
      </c>
      <c r="AC36" s="927">
        <v>0</v>
      </c>
      <c r="AD36" s="927">
        <f t="shared" ref="AD36:AD45" si="22">AC36</f>
        <v>0</v>
      </c>
      <c r="AE36" s="927">
        <v>0</v>
      </c>
      <c r="AF36" s="927">
        <f t="shared" si="18"/>
        <v>1.96</v>
      </c>
      <c r="AG36" s="927">
        <v>0</v>
      </c>
      <c r="AH36" s="927">
        <f t="shared" si="12"/>
        <v>0</v>
      </c>
      <c r="AI36" s="927">
        <v>0</v>
      </c>
      <c r="AJ36" s="927">
        <v>0</v>
      </c>
      <c r="AK36" s="927">
        <v>0</v>
      </c>
      <c r="AL36" s="927">
        <v>0</v>
      </c>
      <c r="AM36" s="927">
        <f>0</f>
        <v>0</v>
      </c>
      <c r="AN36" s="927">
        <f t="shared" si="15"/>
        <v>1.96</v>
      </c>
      <c r="AO36" s="927"/>
      <c r="AQ36" s="533"/>
      <c r="AR36" s="532"/>
      <c r="AS36" s="533"/>
      <c r="AT36" s="531"/>
      <c r="AU36" s="533"/>
      <c r="AV36" s="531"/>
      <c r="AW36" s="533"/>
      <c r="AX36" s="533"/>
      <c r="AY36" s="531"/>
      <c r="AZ36" s="531"/>
      <c r="BA36" s="531"/>
      <c r="BB36" s="531"/>
      <c r="BC36" s="531"/>
      <c r="BD36" s="531"/>
      <c r="BE36" s="531"/>
      <c r="BF36" s="531"/>
      <c r="BG36" s="531"/>
      <c r="BH36" s="531"/>
      <c r="BI36" s="531"/>
      <c r="BJ36" s="531"/>
      <c r="BK36" s="531"/>
      <c r="BL36" s="531"/>
      <c r="BM36" s="531"/>
      <c r="BN36" s="531"/>
      <c r="BO36" s="531"/>
    </row>
    <row r="37" spans="1:67" s="313" customFormat="1" ht="90" customHeight="1" x14ac:dyDescent="0.25">
      <c r="A37" s="380" t="s">
        <v>1661</v>
      </c>
      <c r="B37" s="381" t="s">
        <v>1673</v>
      </c>
      <c r="C37" s="395" t="s">
        <v>1685</v>
      </c>
      <c r="D37" s="395" t="s">
        <v>823</v>
      </c>
      <c r="E37" s="395">
        <f t="shared" si="19"/>
        <v>2021</v>
      </c>
      <c r="F37" s="395" t="str">
        <f t="shared" si="19"/>
        <v>нд</v>
      </c>
      <c r="G37" s="395">
        <v>2021</v>
      </c>
      <c r="H37" s="927">
        <f>'2 (цены с НДС)'!P37/1.2</f>
        <v>0</v>
      </c>
      <c r="I37" s="927">
        <f>'2 (цены с НДС)'!U37/1.2</f>
        <v>1.25</v>
      </c>
      <c r="J37" s="927" t="s">
        <v>621</v>
      </c>
      <c r="K37" s="927">
        <v>0</v>
      </c>
      <c r="L37" s="927" t="s">
        <v>621</v>
      </c>
      <c r="M37" s="927" t="s">
        <v>621</v>
      </c>
      <c r="N37" s="927" t="s">
        <v>621</v>
      </c>
      <c r="O37" s="927" t="s">
        <v>621</v>
      </c>
      <c r="P37" s="927">
        <f>'2 (цены с НДС)'!S37/1.2</f>
        <v>1.25</v>
      </c>
      <c r="Q37" s="927">
        <f t="shared" si="20"/>
        <v>0.06</v>
      </c>
      <c r="R37" s="927">
        <f t="shared" si="17"/>
        <v>1.1599999999999999</v>
      </c>
      <c r="S37" s="927">
        <v>0</v>
      </c>
      <c r="T37" s="927">
        <f t="shared" si="21"/>
        <v>0.03</v>
      </c>
      <c r="U37" s="927" t="s">
        <v>621</v>
      </c>
      <c r="V37" s="927" t="s">
        <v>621</v>
      </c>
      <c r="W37" s="927" t="s">
        <v>621</v>
      </c>
      <c r="X37" s="927" t="s">
        <v>621</v>
      </c>
      <c r="Y37" s="927" t="s">
        <v>621</v>
      </c>
      <c r="Z37" s="927" t="s">
        <v>621</v>
      </c>
      <c r="AA37" s="927" t="s">
        <v>621</v>
      </c>
      <c r="AB37" s="927" t="s">
        <v>621</v>
      </c>
      <c r="AC37" s="927">
        <v>0</v>
      </c>
      <c r="AD37" s="927">
        <f t="shared" si="22"/>
        <v>0</v>
      </c>
      <c r="AE37" s="927">
        <v>0</v>
      </c>
      <c r="AF37" s="927">
        <f t="shared" si="18"/>
        <v>1.25</v>
      </c>
      <c r="AG37" s="927">
        <v>0</v>
      </c>
      <c r="AH37" s="927">
        <f t="shared" si="12"/>
        <v>0</v>
      </c>
      <c r="AI37" s="927">
        <v>0</v>
      </c>
      <c r="AJ37" s="927">
        <v>0</v>
      </c>
      <c r="AK37" s="927">
        <v>0</v>
      </c>
      <c r="AL37" s="927">
        <v>0</v>
      </c>
      <c r="AM37" s="927">
        <f>0</f>
        <v>0</v>
      </c>
      <c r="AN37" s="927">
        <f t="shared" si="15"/>
        <v>1.25</v>
      </c>
      <c r="AO37" s="927"/>
      <c r="AQ37" s="533"/>
      <c r="AR37" s="532"/>
      <c r="AS37" s="533"/>
      <c r="AT37" s="531"/>
      <c r="AU37" s="533"/>
      <c r="AV37" s="531"/>
      <c r="AW37" s="533"/>
      <c r="AX37" s="533"/>
      <c r="AY37" s="531"/>
      <c r="AZ37" s="531"/>
      <c r="BA37" s="531"/>
      <c r="BB37" s="531"/>
      <c r="BC37" s="531"/>
      <c r="BD37" s="531"/>
      <c r="BE37" s="531"/>
      <c r="BF37" s="531"/>
      <c r="BG37" s="531"/>
      <c r="BH37" s="531"/>
      <c r="BI37" s="531"/>
      <c r="BJ37" s="531"/>
      <c r="BK37" s="531"/>
      <c r="BL37" s="531"/>
      <c r="BM37" s="531"/>
      <c r="BN37" s="531"/>
      <c r="BO37" s="531"/>
    </row>
    <row r="38" spans="1:67" s="313" customFormat="1" ht="80.25" customHeight="1" x14ac:dyDescent="0.25">
      <c r="A38" s="380" t="s">
        <v>1662</v>
      </c>
      <c r="B38" s="381" t="s">
        <v>1674</v>
      </c>
      <c r="C38" s="395" t="s">
        <v>1686</v>
      </c>
      <c r="D38" s="395" t="s">
        <v>823</v>
      </c>
      <c r="E38" s="395">
        <f t="shared" si="19"/>
        <v>2021</v>
      </c>
      <c r="F38" s="395" t="str">
        <f t="shared" si="19"/>
        <v>нд</v>
      </c>
      <c r="G38" s="395">
        <v>2021</v>
      </c>
      <c r="H38" s="927">
        <f>'2 (цены с НДС)'!P38/1.2</f>
        <v>0</v>
      </c>
      <c r="I38" s="927">
        <f>'2 (цены с НДС)'!U38/1.2</f>
        <v>1.6</v>
      </c>
      <c r="J38" s="927" t="s">
        <v>621</v>
      </c>
      <c r="K38" s="927">
        <v>0</v>
      </c>
      <c r="L38" s="927" t="s">
        <v>621</v>
      </c>
      <c r="M38" s="927" t="s">
        <v>621</v>
      </c>
      <c r="N38" s="927" t="s">
        <v>621</v>
      </c>
      <c r="O38" s="927" t="s">
        <v>621</v>
      </c>
      <c r="P38" s="927">
        <f>'2 (цены с НДС)'!S38/1.2</f>
        <v>1.6</v>
      </c>
      <c r="Q38" s="927">
        <f t="shared" si="20"/>
        <v>0.08</v>
      </c>
      <c r="R38" s="927">
        <f t="shared" si="17"/>
        <v>1.49</v>
      </c>
      <c r="S38" s="927">
        <v>0</v>
      </c>
      <c r="T38" s="927">
        <f t="shared" si="21"/>
        <v>0.03</v>
      </c>
      <c r="U38" s="927" t="s">
        <v>621</v>
      </c>
      <c r="V38" s="927" t="s">
        <v>621</v>
      </c>
      <c r="W38" s="927" t="s">
        <v>621</v>
      </c>
      <c r="X38" s="927" t="s">
        <v>621</v>
      </c>
      <c r="Y38" s="927" t="s">
        <v>621</v>
      </c>
      <c r="Z38" s="927" t="s">
        <v>621</v>
      </c>
      <c r="AA38" s="927" t="s">
        <v>621</v>
      </c>
      <c r="AB38" s="927" t="s">
        <v>621</v>
      </c>
      <c r="AC38" s="927">
        <v>0</v>
      </c>
      <c r="AD38" s="927">
        <f t="shared" si="22"/>
        <v>0</v>
      </c>
      <c r="AE38" s="927">
        <v>0</v>
      </c>
      <c r="AF38" s="927">
        <f t="shared" si="18"/>
        <v>1.6</v>
      </c>
      <c r="AG38" s="927">
        <v>0</v>
      </c>
      <c r="AH38" s="927">
        <f t="shared" si="12"/>
        <v>0</v>
      </c>
      <c r="AI38" s="927">
        <v>0</v>
      </c>
      <c r="AJ38" s="927">
        <v>0</v>
      </c>
      <c r="AK38" s="927">
        <v>0</v>
      </c>
      <c r="AL38" s="927">
        <v>0</v>
      </c>
      <c r="AM38" s="927">
        <f>0</f>
        <v>0</v>
      </c>
      <c r="AN38" s="927">
        <f t="shared" si="15"/>
        <v>1.6</v>
      </c>
      <c r="AO38" s="927"/>
      <c r="AQ38" s="533"/>
      <c r="AR38" s="532"/>
      <c r="AS38" s="533"/>
      <c r="AT38" s="531"/>
      <c r="AU38" s="533"/>
      <c r="AV38" s="531"/>
      <c r="AW38" s="533"/>
      <c r="AX38" s="533"/>
      <c r="AY38" s="531"/>
      <c r="AZ38" s="531"/>
      <c r="BA38" s="531"/>
      <c r="BB38" s="531"/>
      <c r="BC38" s="531"/>
      <c r="BD38" s="531"/>
      <c r="BE38" s="531"/>
      <c r="BF38" s="531"/>
      <c r="BG38" s="531"/>
      <c r="BH38" s="531"/>
      <c r="BI38" s="531"/>
      <c r="BJ38" s="531"/>
      <c r="BK38" s="531"/>
      <c r="BL38" s="531"/>
      <c r="BM38" s="531"/>
      <c r="BN38" s="531"/>
      <c r="BO38" s="531"/>
    </row>
    <row r="39" spans="1:67" s="313" customFormat="1" ht="80.25" customHeight="1" x14ac:dyDescent="0.25">
      <c r="A39" s="380" t="s">
        <v>1663</v>
      </c>
      <c r="B39" s="381" t="s">
        <v>1675</v>
      </c>
      <c r="C39" s="395" t="s">
        <v>1687</v>
      </c>
      <c r="D39" s="395" t="s">
        <v>823</v>
      </c>
      <c r="E39" s="395">
        <f t="shared" si="19"/>
        <v>2021</v>
      </c>
      <c r="F39" s="395" t="str">
        <f t="shared" si="19"/>
        <v>нд</v>
      </c>
      <c r="G39" s="395">
        <v>2021</v>
      </c>
      <c r="H39" s="927">
        <f>'2 (цены с НДС)'!P39/1.2</f>
        <v>0</v>
      </c>
      <c r="I39" s="927">
        <f>'2 (цены с НДС)'!U39/1.2</f>
        <v>0.8</v>
      </c>
      <c r="J39" s="927" t="s">
        <v>621</v>
      </c>
      <c r="K39" s="927">
        <v>0</v>
      </c>
      <c r="L39" s="927" t="s">
        <v>621</v>
      </c>
      <c r="M39" s="927" t="s">
        <v>621</v>
      </c>
      <c r="N39" s="927" t="s">
        <v>621</v>
      </c>
      <c r="O39" s="927" t="s">
        <v>621</v>
      </c>
      <c r="P39" s="927">
        <f>'2 (цены с НДС)'!S39/1.2</f>
        <v>0.8</v>
      </c>
      <c r="Q39" s="927">
        <f t="shared" si="20"/>
        <v>0.04</v>
      </c>
      <c r="R39" s="927">
        <f t="shared" si="17"/>
        <v>0.74</v>
      </c>
      <c r="S39" s="927">
        <v>0</v>
      </c>
      <c r="T39" s="927">
        <f t="shared" si="21"/>
        <v>0.02</v>
      </c>
      <c r="U39" s="927" t="s">
        <v>621</v>
      </c>
      <c r="V39" s="927" t="s">
        <v>621</v>
      </c>
      <c r="W39" s="927" t="s">
        <v>621</v>
      </c>
      <c r="X39" s="927" t="s">
        <v>621</v>
      </c>
      <c r="Y39" s="927" t="s">
        <v>621</v>
      </c>
      <c r="Z39" s="927" t="s">
        <v>621</v>
      </c>
      <c r="AA39" s="927" t="s">
        <v>621</v>
      </c>
      <c r="AB39" s="927" t="s">
        <v>621</v>
      </c>
      <c r="AC39" s="927">
        <v>0</v>
      </c>
      <c r="AD39" s="927">
        <f t="shared" si="22"/>
        <v>0</v>
      </c>
      <c r="AE39" s="927">
        <v>0</v>
      </c>
      <c r="AF39" s="927">
        <f t="shared" si="18"/>
        <v>0.8</v>
      </c>
      <c r="AG39" s="927">
        <v>0</v>
      </c>
      <c r="AH39" s="927">
        <f t="shared" si="12"/>
        <v>0</v>
      </c>
      <c r="AI39" s="927">
        <v>0</v>
      </c>
      <c r="AJ39" s="927">
        <v>0</v>
      </c>
      <c r="AK39" s="927">
        <v>0</v>
      </c>
      <c r="AL39" s="927">
        <v>0</v>
      </c>
      <c r="AM39" s="927">
        <f>0</f>
        <v>0</v>
      </c>
      <c r="AN39" s="927">
        <f t="shared" si="15"/>
        <v>0.8</v>
      </c>
      <c r="AO39" s="927"/>
      <c r="AQ39" s="533"/>
      <c r="AR39" s="532"/>
      <c r="AS39" s="533"/>
      <c r="AT39" s="531"/>
      <c r="AU39" s="533"/>
      <c r="AV39" s="531"/>
      <c r="AW39" s="533"/>
      <c r="AX39" s="533"/>
      <c r="AY39" s="531"/>
      <c r="AZ39" s="531"/>
      <c r="BA39" s="531"/>
      <c r="BB39" s="531"/>
      <c r="BC39" s="531"/>
      <c r="BD39" s="531"/>
      <c r="BE39" s="531"/>
      <c r="BF39" s="531"/>
      <c r="BG39" s="531"/>
      <c r="BH39" s="531"/>
      <c r="BI39" s="531"/>
      <c r="BJ39" s="531"/>
      <c r="BK39" s="531"/>
      <c r="BL39" s="531"/>
      <c r="BM39" s="531"/>
      <c r="BN39" s="531"/>
      <c r="BO39" s="531"/>
    </row>
    <row r="40" spans="1:67" s="313" customFormat="1" ht="80.25" customHeight="1" x14ac:dyDescent="0.25">
      <c r="A40" s="380" t="s">
        <v>1664</v>
      </c>
      <c r="B40" s="381" t="s">
        <v>1676</v>
      </c>
      <c r="C40" s="395" t="s">
        <v>1688</v>
      </c>
      <c r="D40" s="395" t="s">
        <v>823</v>
      </c>
      <c r="E40" s="395">
        <f t="shared" si="19"/>
        <v>2021</v>
      </c>
      <c r="F40" s="395" t="str">
        <f t="shared" si="19"/>
        <v>нд</v>
      </c>
      <c r="G40" s="395">
        <v>2021</v>
      </c>
      <c r="H40" s="927">
        <f>'2 (цены с НДС)'!P40/1.2</f>
        <v>0</v>
      </c>
      <c r="I40" s="927">
        <f>'2 (цены с НДС)'!U40/1.2</f>
        <v>0.65</v>
      </c>
      <c r="J40" s="927" t="s">
        <v>621</v>
      </c>
      <c r="K40" s="927">
        <v>0</v>
      </c>
      <c r="L40" s="927" t="s">
        <v>621</v>
      </c>
      <c r="M40" s="927" t="s">
        <v>621</v>
      </c>
      <c r="N40" s="927" t="s">
        <v>621</v>
      </c>
      <c r="O40" s="927" t="s">
        <v>621</v>
      </c>
      <c r="P40" s="927">
        <f>'2 (цены с НДС)'!S40/1.2</f>
        <v>0.65</v>
      </c>
      <c r="Q40" s="927">
        <f t="shared" si="20"/>
        <v>0.03</v>
      </c>
      <c r="R40" s="927">
        <f t="shared" si="17"/>
        <v>0.61</v>
      </c>
      <c r="S40" s="927">
        <v>0</v>
      </c>
      <c r="T40" s="927">
        <f t="shared" si="21"/>
        <v>0.01</v>
      </c>
      <c r="U40" s="927" t="s">
        <v>621</v>
      </c>
      <c r="V40" s="927" t="s">
        <v>621</v>
      </c>
      <c r="W40" s="927" t="s">
        <v>621</v>
      </c>
      <c r="X40" s="927" t="s">
        <v>621</v>
      </c>
      <c r="Y40" s="927" t="s">
        <v>621</v>
      </c>
      <c r="Z40" s="927" t="s">
        <v>621</v>
      </c>
      <c r="AA40" s="927" t="s">
        <v>621</v>
      </c>
      <c r="AB40" s="927" t="s">
        <v>621</v>
      </c>
      <c r="AC40" s="927">
        <v>0</v>
      </c>
      <c r="AD40" s="927">
        <f t="shared" si="22"/>
        <v>0</v>
      </c>
      <c r="AE40" s="927">
        <v>0</v>
      </c>
      <c r="AF40" s="927">
        <f t="shared" si="18"/>
        <v>0.65</v>
      </c>
      <c r="AG40" s="927">
        <v>0</v>
      </c>
      <c r="AH40" s="927">
        <f t="shared" si="12"/>
        <v>0</v>
      </c>
      <c r="AI40" s="927">
        <v>0</v>
      </c>
      <c r="AJ40" s="927">
        <v>0</v>
      </c>
      <c r="AK40" s="927">
        <v>0</v>
      </c>
      <c r="AL40" s="927">
        <v>0</v>
      </c>
      <c r="AM40" s="927">
        <f>0</f>
        <v>0</v>
      </c>
      <c r="AN40" s="927">
        <f t="shared" si="15"/>
        <v>0.65</v>
      </c>
      <c r="AO40" s="927"/>
      <c r="AQ40" s="533"/>
      <c r="AR40" s="532"/>
      <c r="AS40" s="533"/>
      <c r="AT40" s="531"/>
      <c r="AU40" s="533"/>
      <c r="AV40" s="531"/>
      <c r="AW40" s="533"/>
      <c r="AX40" s="533"/>
      <c r="AY40" s="531"/>
      <c r="AZ40" s="531"/>
      <c r="BA40" s="531"/>
      <c r="BB40" s="531"/>
      <c r="BC40" s="531"/>
      <c r="BD40" s="531"/>
      <c r="BE40" s="531"/>
      <c r="BF40" s="531"/>
      <c r="BG40" s="531"/>
      <c r="BH40" s="531"/>
      <c r="BI40" s="531"/>
      <c r="BJ40" s="531"/>
      <c r="BK40" s="531"/>
      <c r="BL40" s="531"/>
      <c r="BM40" s="531"/>
      <c r="BN40" s="531"/>
      <c r="BO40" s="531"/>
    </row>
    <row r="41" spans="1:67" s="313" customFormat="1" ht="80.25" customHeight="1" x14ac:dyDescent="0.25">
      <c r="A41" s="380" t="s">
        <v>1665</v>
      </c>
      <c r="B41" s="381" t="s">
        <v>1677</v>
      </c>
      <c r="C41" s="395" t="s">
        <v>1689</v>
      </c>
      <c r="D41" s="395" t="s">
        <v>823</v>
      </c>
      <c r="E41" s="395">
        <f t="shared" si="19"/>
        <v>2021</v>
      </c>
      <c r="F41" s="395" t="str">
        <f t="shared" si="19"/>
        <v>нд</v>
      </c>
      <c r="G41" s="395">
        <v>2021</v>
      </c>
      <c r="H41" s="927">
        <f>'2 (цены с НДС)'!P41/1.2</f>
        <v>0</v>
      </c>
      <c r="I41" s="927">
        <f>'2 (цены с НДС)'!U41/1.2</f>
        <v>0.2</v>
      </c>
      <c r="J41" s="927" t="s">
        <v>621</v>
      </c>
      <c r="K41" s="927">
        <v>0</v>
      </c>
      <c r="L41" s="927" t="s">
        <v>621</v>
      </c>
      <c r="M41" s="927" t="s">
        <v>621</v>
      </c>
      <c r="N41" s="927" t="s">
        <v>621</v>
      </c>
      <c r="O41" s="927" t="s">
        <v>621</v>
      </c>
      <c r="P41" s="927">
        <f>'2 (цены с НДС)'!S41/1.2</f>
        <v>0.2</v>
      </c>
      <c r="Q41" s="927">
        <f t="shared" si="20"/>
        <v>0.01</v>
      </c>
      <c r="R41" s="927">
        <f t="shared" si="17"/>
        <v>0.19</v>
      </c>
      <c r="S41" s="927">
        <v>0</v>
      </c>
      <c r="T41" s="927">
        <f t="shared" si="21"/>
        <v>0</v>
      </c>
      <c r="U41" s="927" t="s">
        <v>621</v>
      </c>
      <c r="V41" s="927" t="s">
        <v>621</v>
      </c>
      <c r="W41" s="927" t="s">
        <v>621</v>
      </c>
      <c r="X41" s="927" t="s">
        <v>621</v>
      </c>
      <c r="Y41" s="927" t="s">
        <v>621</v>
      </c>
      <c r="Z41" s="927" t="s">
        <v>621</v>
      </c>
      <c r="AA41" s="927" t="s">
        <v>621</v>
      </c>
      <c r="AB41" s="927" t="s">
        <v>621</v>
      </c>
      <c r="AC41" s="927">
        <v>0</v>
      </c>
      <c r="AD41" s="927">
        <f t="shared" si="22"/>
        <v>0</v>
      </c>
      <c r="AE41" s="927">
        <v>0</v>
      </c>
      <c r="AF41" s="927">
        <f t="shared" si="18"/>
        <v>0.2</v>
      </c>
      <c r="AG41" s="927">
        <v>0</v>
      </c>
      <c r="AH41" s="927">
        <f t="shared" si="12"/>
        <v>0</v>
      </c>
      <c r="AI41" s="927">
        <v>0</v>
      </c>
      <c r="AJ41" s="927">
        <v>0</v>
      </c>
      <c r="AK41" s="927">
        <v>0</v>
      </c>
      <c r="AL41" s="927">
        <v>0</v>
      </c>
      <c r="AM41" s="927">
        <f>0</f>
        <v>0</v>
      </c>
      <c r="AN41" s="927">
        <f t="shared" si="15"/>
        <v>0.2</v>
      </c>
      <c r="AO41" s="927"/>
      <c r="AQ41" s="533"/>
      <c r="AR41" s="532"/>
      <c r="AS41" s="533"/>
      <c r="AT41" s="531"/>
      <c r="AU41" s="533"/>
      <c r="AV41" s="531"/>
      <c r="AW41" s="533"/>
      <c r="AX41" s="533"/>
      <c r="AY41" s="531"/>
      <c r="AZ41" s="531"/>
      <c r="BA41" s="531"/>
      <c r="BB41" s="531"/>
      <c r="BC41" s="531"/>
      <c r="BD41" s="531"/>
      <c r="BE41" s="531"/>
      <c r="BF41" s="531"/>
      <c r="BG41" s="531"/>
      <c r="BH41" s="531"/>
      <c r="BI41" s="531"/>
      <c r="BJ41" s="531"/>
      <c r="BK41" s="531"/>
      <c r="BL41" s="531"/>
      <c r="BM41" s="531"/>
      <c r="BN41" s="531"/>
      <c r="BO41" s="531"/>
    </row>
    <row r="42" spans="1:67" s="313" customFormat="1" ht="80.25" customHeight="1" x14ac:dyDescent="0.25">
      <c r="A42" s="380" t="s">
        <v>1666</v>
      </c>
      <c r="B42" s="381" t="s">
        <v>1678</v>
      </c>
      <c r="C42" s="395" t="s">
        <v>1690</v>
      </c>
      <c r="D42" s="395" t="s">
        <v>823</v>
      </c>
      <c r="E42" s="395">
        <f t="shared" si="19"/>
        <v>2021</v>
      </c>
      <c r="F42" s="395" t="str">
        <f t="shared" si="19"/>
        <v>нд</v>
      </c>
      <c r="G42" s="395">
        <v>2021</v>
      </c>
      <c r="H42" s="927">
        <f>'2 (цены с НДС)'!P42/1.2</f>
        <v>0</v>
      </c>
      <c r="I42" s="927">
        <f>'2 (цены с НДС)'!U42/1.2</f>
        <v>0.7</v>
      </c>
      <c r="J42" s="927" t="s">
        <v>621</v>
      </c>
      <c r="K42" s="927">
        <v>0</v>
      </c>
      <c r="L42" s="927" t="s">
        <v>621</v>
      </c>
      <c r="M42" s="927" t="s">
        <v>621</v>
      </c>
      <c r="N42" s="927" t="s">
        <v>621</v>
      </c>
      <c r="O42" s="927" t="s">
        <v>621</v>
      </c>
      <c r="P42" s="927">
        <f>'2 (цены с НДС)'!S42/1.2</f>
        <v>0.7</v>
      </c>
      <c r="Q42" s="927">
        <f t="shared" si="20"/>
        <v>0.04</v>
      </c>
      <c r="R42" s="927">
        <f t="shared" si="17"/>
        <v>0.65</v>
      </c>
      <c r="S42" s="927">
        <v>0</v>
      </c>
      <c r="T42" s="927">
        <f t="shared" si="21"/>
        <v>0.01</v>
      </c>
      <c r="U42" s="927" t="s">
        <v>621</v>
      </c>
      <c r="V42" s="927" t="s">
        <v>621</v>
      </c>
      <c r="W42" s="927" t="s">
        <v>621</v>
      </c>
      <c r="X42" s="927" t="s">
        <v>621</v>
      </c>
      <c r="Y42" s="927" t="s">
        <v>621</v>
      </c>
      <c r="Z42" s="927" t="s">
        <v>621</v>
      </c>
      <c r="AA42" s="927" t="s">
        <v>621</v>
      </c>
      <c r="AB42" s="927" t="s">
        <v>621</v>
      </c>
      <c r="AC42" s="927">
        <v>0</v>
      </c>
      <c r="AD42" s="927">
        <f t="shared" si="22"/>
        <v>0</v>
      </c>
      <c r="AE42" s="927">
        <v>0</v>
      </c>
      <c r="AF42" s="927">
        <f t="shared" si="18"/>
        <v>0.7</v>
      </c>
      <c r="AG42" s="927">
        <v>0</v>
      </c>
      <c r="AH42" s="927">
        <f t="shared" si="12"/>
        <v>0</v>
      </c>
      <c r="AI42" s="927">
        <v>0</v>
      </c>
      <c r="AJ42" s="927">
        <v>0</v>
      </c>
      <c r="AK42" s="927">
        <v>0</v>
      </c>
      <c r="AL42" s="927">
        <v>0</v>
      </c>
      <c r="AM42" s="927">
        <f>0</f>
        <v>0</v>
      </c>
      <c r="AN42" s="927">
        <f t="shared" si="15"/>
        <v>0.7</v>
      </c>
      <c r="AO42" s="927"/>
      <c r="AQ42" s="533"/>
      <c r="AR42" s="532"/>
      <c r="AS42" s="533"/>
      <c r="AT42" s="531"/>
      <c r="AU42" s="533"/>
      <c r="AV42" s="531"/>
      <c r="AW42" s="533"/>
      <c r="AX42" s="533"/>
      <c r="AY42" s="531"/>
      <c r="AZ42" s="531"/>
      <c r="BA42" s="531"/>
      <c r="BB42" s="531"/>
      <c r="BC42" s="531"/>
      <c r="BD42" s="531"/>
      <c r="BE42" s="531"/>
      <c r="BF42" s="531"/>
      <c r="BG42" s="531"/>
      <c r="BH42" s="531"/>
      <c r="BI42" s="531"/>
      <c r="BJ42" s="531"/>
      <c r="BK42" s="531"/>
      <c r="BL42" s="531"/>
      <c r="BM42" s="531"/>
      <c r="BN42" s="531"/>
      <c r="BO42" s="531"/>
    </row>
    <row r="43" spans="1:67" s="313" customFormat="1" ht="80.25" customHeight="1" x14ac:dyDescent="0.25">
      <c r="A43" s="380" t="s">
        <v>1667</v>
      </c>
      <c r="B43" s="381" t="s">
        <v>1679</v>
      </c>
      <c r="C43" s="395" t="s">
        <v>1691</v>
      </c>
      <c r="D43" s="395" t="s">
        <v>823</v>
      </c>
      <c r="E43" s="395">
        <f t="shared" si="19"/>
        <v>2021</v>
      </c>
      <c r="F43" s="395" t="str">
        <f t="shared" si="19"/>
        <v>нд</v>
      </c>
      <c r="G43" s="395">
        <v>2021</v>
      </c>
      <c r="H43" s="927">
        <f>'2 (цены с НДС)'!P43/1.2</f>
        <v>0</v>
      </c>
      <c r="I43" s="927">
        <f>'2 (цены с НДС)'!U43/1.2</f>
        <v>0.9</v>
      </c>
      <c r="J43" s="927" t="s">
        <v>621</v>
      </c>
      <c r="K43" s="927">
        <v>0</v>
      </c>
      <c r="L43" s="927" t="s">
        <v>621</v>
      </c>
      <c r="M43" s="927" t="s">
        <v>621</v>
      </c>
      <c r="N43" s="927" t="s">
        <v>621</v>
      </c>
      <c r="O43" s="927" t="s">
        <v>621</v>
      </c>
      <c r="P43" s="927">
        <f>'2 (цены с НДС)'!S43/1.2</f>
        <v>0.9</v>
      </c>
      <c r="Q43" s="927">
        <f t="shared" si="20"/>
        <v>0.05</v>
      </c>
      <c r="R43" s="927">
        <f t="shared" si="17"/>
        <v>0.83</v>
      </c>
      <c r="S43" s="927">
        <v>0</v>
      </c>
      <c r="T43" s="927">
        <f t="shared" si="21"/>
        <v>0.02</v>
      </c>
      <c r="U43" s="927" t="s">
        <v>621</v>
      </c>
      <c r="V43" s="927" t="s">
        <v>621</v>
      </c>
      <c r="W43" s="927" t="s">
        <v>621</v>
      </c>
      <c r="X43" s="927" t="s">
        <v>621</v>
      </c>
      <c r="Y43" s="927" t="s">
        <v>621</v>
      </c>
      <c r="Z43" s="927" t="s">
        <v>621</v>
      </c>
      <c r="AA43" s="927" t="s">
        <v>621</v>
      </c>
      <c r="AB43" s="927" t="s">
        <v>621</v>
      </c>
      <c r="AC43" s="927">
        <v>0</v>
      </c>
      <c r="AD43" s="927">
        <f t="shared" si="22"/>
        <v>0</v>
      </c>
      <c r="AE43" s="927">
        <v>0</v>
      </c>
      <c r="AF43" s="927">
        <f t="shared" si="18"/>
        <v>0.9</v>
      </c>
      <c r="AG43" s="927">
        <v>0</v>
      </c>
      <c r="AH43" s="927">
        <f t="shared" si="12"/>
        <v>0</v>
      </c>
      <c r="AI43" s="927">
        <v>0</v>
      </c>
      <c r="AJ43" s="927">
        <v>0</v>
      </c>
      <c r="AK43" s="927">
        <v>0</v>
      </c>
      <c r="AL43" s="927">
        <v>0</v>
      </c>
      <c r="AM43" s="927">
        <f>0</f>
        <v>0</v>
      </c>
      <c r="AN43" s="927">
        <f t="shared" si="15"/>
        <v>0.9</v>
      </c>
      <c r="AO43" s="927"/>
      <c r="AQ43" s="533"/>
      <c r="AR43" s="532"/>
      <c r="AS43" s="533"/>
      <c r="AT43" s="531"/>
      <c r="AU43" s="533"/>
      <c r="AV43" s="531"/>
      <c r="AW43" s="533"/>
      <c r="AX43" s="533"/>
      <c r="AY43" s="531"/>
      <c r="AZ43" s="531"/>
      <c r="BA43" s="531"/>
      <c r="BB43" s="531"/>
      <c r="BC43" s="531"/>
      <c r="BD43" s="531"/>
      <c r="BE43" s="531"/>
      <c r="BF43" s="531"/>
      <c r="BG43" s="531"/>
      <c r="BH43" s="531"/>
      <c r="BI43" s="531"/>
      <c r="BJ43" s="531"/>
      <c r="BK43" s="531"/>
      <c r="BL43" s="531"/>
      <c r="BM43" s="531"/>
      <c r="BN43" s="531"/>
      <c r="BO43" s="531"/>
    </row>
    <row r="44" spans="1:67" s="313" customFormat="1" ht="80.25" customHeight="1" x14ac:dyDescent="0.25">
      <c r="A44" s="380" t="s">
        <v>1668</v>
      </c>
      <c r="B44" s="381" t="s">
        <v>1680</v>
      </c>
      <c r="C44" s="395" t="s">
        <v>1692</v>
      </c>
      <c r="D44" s="395" t="s">
        <v>823</v>
      </c>
      <c r="E44" s="395">
        <f t="shared" si="19"/>
        <v>2021</v>
      </c>
      <c r="F44" s="395" t="str">
        <f t="shared" si="19"/>
        <v>нд</v>
      </c>
      <c r="G44" s="395">
        <v>2021</v>
      </c>
      <c r="H44" s="927">
        <f>'2 (цены с НДС)'!P44/1.2</f>
        <v>0</v>
      </c>
      <c r="I44" s="927">
        <f>'2 (цены с НДС)'!U44/1.2</f>
        <v>0.7</v>
      </c>
      <c r="J44" s="927" t="s">
        <v>621</v>
      </c>
      <c r="K44" s="927">
        <v>0</v>
      </c>
      <c r="L44" s="927" t="s">
        <v>621</v>
      </c>
      <c r="M44" s="927" t="s">
        <v>621</v>
      </c>
      <c r="N44" s="927" t="s">
        <v>621</v>
      </c>
      <c r="O44" s="927" t="s">
        <v>621</v>
      </c>
      <c r="P44" s="927">
        <f>'2 (цены с НДС)'!S44/1.2</f>
        <v>0.7</v>
      </c>
      <c r="Q44" s="927">
        <f t="shared" si="20"/>
        <v>0.04</v>
      </c>
      <c r="R44" s="927">
        <f t="shared" si="17"/>
        <v>0.65</v>
      </c>
      <c r="S44" s="927">
        <v>0</v>
      </c>
      <c r="T44" s="927">
        <f t="shared" si="21"/>
        <v>0.01</v>
      </c>
      <c r="U44" s="927" t="s">
        <v>621</v>
      </c>
      <c r="V44" s="927" t="s">
        <v>621</v>
      </c>
      <c r="W44" s="927" t="s">
        <v>621</v>
      </c>
      <c r="X44" s="927" t="s">
        <v>621</v>
      </c>
      <c r="Y44" s="927" t="s">
        <v>621</v>
      </c>
      <c r="Z44" s="927" t="s">
        <v>621</v>
      </c>
      <c r="AA44" s="927" t="s">
        <v>621</v>
      </c>
      <c r="AB44" s="927" t="s">
        <v>621</v>
      </c>
      <c r="AC44" s="927">
        <v>0</v>
      </c>
      <c r="AD44" s="927">
        <f t="shared" si="22"/>
        <v>0</v>
      </c>
      <c r="AE44" s="927">
        <v>0</v>
      </c>
      <c r="AF44" s="927">
        <f t="shared" si="18"/>
        <v>0.7</v>
      </c>
      <c r="AG44" s="927">
        <v>0</v>
      </c>
      <c r="AH44" s="927">
        <f t="shared" si="12"/>
        <v>0</v>
      </c>
      <c r="AI44" s="927">
        <v>0</v>
      </c>
      <c r="AJ44" s="927">
        <v>0</v>
      </c>
      <c r="AK44" s="927">
        <v>0</v>
      </c>
      <c r="AL44" s="927">
        <v>0</v>
      </c>
      <c r="AM44" s="927">
        <f>0</f>
        <v>0</v>
      </c>
      <c r="AN44" s="927">
        <f t="shared" si="15"/>
        <v>0.7</v>
      </c>
      <c r="AO44" s="927"/>
      <c r="AQ44" s="533"/>
      <c r="AR44" s="532"/>
      <c r="AS44" s="533"/>
      <c r="AT44" s="531"/>
      <c r="AU44" s="533"/>
      <c r="AV44" s="531"/>
      <c r="AW44" s="533"/>
      <c r="AX44" s="533"/>
      <c r="AY44" s="531"/>
      <c r="AZ44" s="531"/>
      <c r="BA44" s="531"/>
      <c r="BB44" s="531"/>
      <c r="BC44" s="531"/>
      <c r="BD44" s="531"/>
      <c r="BE44" s="531"/>
      <c r="BF44" s="531"/>
      <c r="BG44" s="531"/>
      <c r="BH44" s="531"/>
      <c r="BI44" s="531"/>
      <c r="BJ44" s="531"/>
      <c r="BK44" s="531"/>
      <c r="BL44" s="531"/>
      <c r="BM44" s="531"/>
      <c r="BN44" s="531"/>
      <c r="BO44" s="531"/>
    </row>
    <row r="45" spans="1:67" s="313" customFormat="1" ht="80.25" customHeight="1" x14ac:dyDescent="0.25">
      <c r="A45" s="380" t="s">
        <v>1669</v>
      </c>
      <c r="B45" s="381" t="s">
        <v>1681</v>
      </c>
      <c r="C45" s="395" t="s">
        <v>1693</v>
      </c>
      <c r="D45" s="395" t="s">
        <v>823</v>
      </c>
      <c r="E45" s="395">
        <f t="shared" si="19"/>
        <v>2021</v>
      </c>
      <c r="F45" s="395" t="str">
        <f t="shared" si="19"/>
        <v>нд</v>
      </c>
      <c r="G45" s="395">
        <v>2021</v>
      </c>
      <c r="H45" s="927">
        <f>'2 (цены с НДС)'!P45/1.2</f>
        <v>0</v>
      </c>
      <c r="I45" s="927">
        <f>'2 (цены с НДС)'!U45/1.2</f>
        <v>1.8</v>
      </c>
      <c r="J45" s="927" t="s">
        <v>621</v>
      </c>
      <c r="K45" s="927">
        <v>0</v>
      </c>
      <c r="L45" s="927" t="s">
        <v>621</v>
      </c>
      <c r="M45" s="927" t="s">
        <v>621</v>
      </c>
      <c r="N45" s="927" t="s">
        <v>621</v>
      </c>
      <c r="O45" s="927" t="s">
        <v>621</v>
      </c>
      <c r="P45" s="927">
        <f>'2 (цены с НДС)'!S45/1.2</f>
        <v>1.8</v>
      </c>
      <c r="Q45" s="927">
        <f t="shared" si="20"/>
        <v>0.09</v>
      </c>
      <c r="R45" s="927">
        <f t="shared" si="17"/>
        <v>1.67</v>
      </c>
      <c r="S45" s="927">
        <v>0</v>
      </c>
      <c r="T45" s="927">
        <f t="shared" si="21"/>
        <v>0.04</v>
      </c>
      <c r="U45" s="927" t="s">
        <v>621</v>
      </c>
      <c r="V45" s="927" t="s">
        <v>621</v>
      </c>
      <c r="W45" s="927" t="s">
        <v>621</v>
      </c>
      <c r="X45" s="927" t="s">
        <v>621</v>
      </c>
      <c r="Y45" s="927" t="s">
        <v>621</v>
      </c>
      <c r="Z45" s="927" t="s">
        <v>621</v>
      </c>
      <c r="AA45" s="927" t="s">
        <v>621</v>
      </c>
      <c r="AB45" s="927" t="s">
        <v>621</v>
      </c>
      <c r="AC45" s="927">
        <v>0</v>
      </c>
      <c r="AD45" s="927">
        <f t="shared" si="22"/>
        <v>0</v>
      </c>
      <c r="AE45" s="927">
        <v>0</v>
      </c>
      <c r="AF45" s="927">
        <f t="shared" si="18"/>
        <v>1.8</v>
      </c>
      <c r="AG45" s="927">
        <v>0</v>
      </c>
      <c r="AH45" s="927">
        <f t="shared" si="12"/>
        <v>0</v>
      </c>
      <c r="AI45" s="927">
        <v>0</v>
      </c>
      <c r="AJ45" s="927">
        <v>0</v>
      </c>
      <c r="AK45" s="927">
        <v>0</v>
      </c>
      <c r="AL45" s="927">
        <v>0</v>
      </c>
      <c r="AM45" s="927">
        <f>0</f>
        <v>0</v>
      </c>
      <c r="AN45" s="927">
        <f t="shared" si="15"/>
        <v>1.8</v>
      </c>
      <c r="AO45" s="927"/>
      <c r="AQ45" s="533"/>
      <c r="AR45" s="532"/>
      <c r="AS45" s="533"/>
      <c r="AT45" s="531"/>
      <c r="AU45" s="533"/>
      <c r="AV45" s="531"/>
      <c r="AW45" s="533"/>
      <c r="AX45" s="533"/>
      <c r="AY45" s="531"/>
      <c r="AZ45" s="531"/>
      <c r="BA45" s="531"/>
      <c r="BB45" s="531"/>
      <c r="BC45" s="531"/>
      <c r="BD45" s="531"/>
      <c r="BE45" s="531"/>
      <c r="BF45" s="531"/>
      <c r="BG45" s="531"/>
      <c r="BH45" s="531"/>
      <c r="BI45" s="531"/>
      <c r="BJ45" s="531"/>
      <c r="BK45" s="531"/>
      <c r="BL45" s="531"/>
      <c r="BM45" s="531"/>
      <c r="BN45" s="531"/>
      <c r="BO45" s="531"/>
    </row>
    <row r="46" spans="1:67" s="313" customFormat="1" ht="80.25" customHeight="1" x14ac:dyDescent="0.25">
      <c r="A46" s="380" t="s">
        <v>1670</v>
      </c>
      <c r="B46" s="381" t="s">
        <v>1682</v>
      </c>
      <c r="C46" s="395" t="s">
        <v>1694</v>
      </c>
      <c r="D46" s="395" t="s">
        <v>823</v>
      </c>
      <c r="E46" s="395">
        <f>E48</f>
        <v>2021</v>
      </c>
      <c r="F46" s="395" t="str">
        <f>F48</f>
        <v>нд</v>
      </c>
      <c r="G46" s="395">
        <v>2021</v>
      </c>
      <c r="H46" s="927">
        <f>'2 (цены с НДС)'!P46/1.2</f>
        <v>0</v>
      </c>
      <c r="I46" s="927">
        <f>'2 (цены с НДС)'!U46/1.2</f>
        <v>0.8</v>
      </c>
      <c r="J46" s="927" t="s">
        <v>621</v>
      </c>
      <c r="K46" s="927">
        <v>0</v>
      </c>
      <c r="L46" s="927" t="s">
        <v>621</v>
      </c>
      <c r="M46" s="927" t="s">
        <v>621</v>
      </c>
      <c r="N46" s="927" t="s">
        <v>621</v>
      </c>
      <c r="O46" s="927" t="s">
        <v>621</v>
      </c>
      <c r="P46" s="927">
        <f>'2 (цены с НДС)'!S46/1.2</f>
        <v>0.8</v>
      </c>
      <c r="Q46" s="927">
        <f t="shared" si="20"/>
        <v>0.04</v>
      </c>
      <c r="R46" s="927">
        <f t="shared" si="17"/>
        <v>0.74</v>
      </c>
      <c r="S46" s="927">
        <v>0</v>
      </c>
      <c r="T46" s="927">
        <f t="shared" si="21"/>
        <v>0.02</v>
      </c>
      <c r="U46" s="927" t="s">
        <v>621</v>
      </c>
      <c r="V46" s="927" t="s">
        <v>621</v>
      </c>
      <c r="W46" s="927" t="s">
        <v>621</v>
      </c>
      <c r="X46" s="927" t="s">
        <v>621</v>
      </c>
      <c r="Y46" s="927" t="s">
        <v>621</v>
      </c>
      <c r="Z46" s="927" t="s">
        <v>621</v>
      </c>
      <c r="AA46" s="927" t="s">
        <v>621</v>
      </c>
      <c r="AB46" s="927" t="s">
        <v>621</v>
      </c>
      <c r="AC46" s="927" t="s">
        <v>621</v>
      </c>
      <c r="AD46" s="927" t="s">
        <v>621</v>
      </c>
      <c r="AE46" s="927">
        <v>0</v>
      </c>
      <c r="AF46" s="927">
        <f t="shared" si="18"/>
        <v>0.8</v>
      </c>
      <c r="AG46" s="927">
        <v>0</v>
      </c>
      <c r="AH46" s="927">
        <f t="shared" si="12"/>
        <v>0</v>
      </c>
      <c r="AI46" s="927">
        <v>0</v>
      </c>
      <c r="AJ46" s="927">
        <v>0</v>
      </c>
      <c r="AK46" s="927">
        <v>0</v>
      </c>
      <c r="AL46" s="927">
        <v>0</v>
      </c>
      <c r="AM46" s="927">
        <f>0</f>
        <v>0</v>
      </c>
      <c r="AN46" s="927">
        <f t="shared" si="15"/>
        <v>0.8</v>
      </c>
      <c r="AO46" s="927"/>
      <c r="AQ46" s="533"/>
      <c r="AR46" s="532"/>
      <c r="AS46" s="533"/>
      <c r="AT46" s="531"/>
      <c r="AU46" s="533"/>
      <c r="AV46" s="531"/>
      <c r="AW46" s="533"/>
      <c r="AX46" s="533"/>
      <c r="AY46" s="531"/>
      <c r="AZ46" s="531"/>
      <c r="BA46" s="531"/>
      <c r="BB46" s="531"/>
      <c r="BC46" s="531"/>
      <c r="BD46" s="531"/>
      <c r="BE46" s="531"/>
      <c r="BF46" s="531"/>
      <c r="BG46" s="531"/>
      <c r="BH46" s="531"/>
      <c r="BI46" s="531"/>
      <c r="BJ46" s="531"/>
      <c r="BK46" s="531"/>
      <c r="BL46" s="531"/>
      <c r="BM46" s="531"/>
      <c r="BN46" s="531"/>
      <c r="BO46" s="531"/>
    </row>
    <row r="47" spans="1:67" s="313" customFormat="1" ht="108.75" customHeight="1" x14ac:dyDescent="0.25">
      <c r="A47" s="380" t="s">
        <v>1716</v>
      </c>
      <c r="B47" s="381" t="s">
        <v>1715</v>
      </c>
      <c r="C47" s="395" t="s">
        <v>1730</v>
      </c>
      <c r="D47" s="395" t="s">
        <v>823</v>
      </c>
      <c r="E47" s="395">
        <v>2022</v>
      </c>
      <c r="F47" s="395" t="str">
        <f>F49</f>
        <v>нд</v>
      </c>
      <c r="G47" s="395">
        <v>2022</v>
      </c>
      <c r="H47" s="927">
        <f>'2 (цены с НДС)'!P47/1.2</f>
        <v>0</v>
      </c>
      <c r="I47" s="927">
        <f>'2 (цены с НДС)'!U47/1.2</f>
        <v>15.68</v>
      </c>
      <c r="J47" s="927" t="s">
        <v>621</v>
      </c>
      <c r="K47" s="927">
        <v>0</v>
      </c>
      <c r="L47" s="927" t="s">
        <v>621</v>
      </c>
      <c r="M47" s="927" t="s">
        <v>621</v>
      </c>
      <c r="N47" s="927" t="s">
        <v>621</v>
      </c>
      <c r="O47" s="927" t="s">
        <v>621</v>
      </c>
      <c r="P47" s="927">
        <f>'2 (цены с НДС)'!S47/1.2</f>
        <v>15.68</v>
      </c>
      <c r="Q47" s="927">
        <f t="shared" si="20"/>
        <v>0.78</v>
      </c>
      <c r="R47" s="927">
        <f t="shared" si="17"/>
        <v>14.59</v>
      </c>
      <c r="S47" s="927">
        <v>0</v>
      </c>
      <c r="T47" s="927">
        <f>P47*2%</f>
        <v>0.31</v>
      </c>
      <c r="U47" s="927" t="s">
        <v>621</v>
      </c>
      <c r="V47" s="927" t="s">
        <v>621</v>
      </c>
      <c r="W47" s="927" t="s">
        <v>621</v>
      </c>
      <c r="X47" s="927" t="s">
        <v>621</v>
      </c>
      <c r="Y47" s="927" t="s">
        <v>621</v>
      </c>
      <c r="Z47" s="927" t="s">
        <v>621</v>
      </c>
      <c r="AA47" s="927" t="s">
        <v>621</v>
      </c>
      <c r="AB47" s="927" t="s">
        <v>621</v>
      </c>
      <c r="AC47" s="927" t="s">
        <v>621</v>
      </c>
      <c r="AD47" s="927" t="s">
        <v>621</v>
      </c>
      <c r="AE47" s="927" t="s">
        <v>621</v>
      </c>
      <c r="AF47" s="927">
        <v>0</v>
      </c>
      <c r="AG47" s="927">
        <f>K47</f>
        <v>0</v>
      </c>
      <c r="AH47" s="927">
        <f>P47</f>
        <v>15.68</v>
      </c>
      <c r="AI47" s="927">
        <v>0</v>
      </c>
      <c r="AJ47" s="927">
        <v>0</v>
      </c>
      <c r="AK47" s="927">
        <v>0</v>
      </c>
      <c r="AL47" s="927">
        <v>0</v>
      </c>
      <c r="AM47" s="927">
        <f>0</f>
        <v>0</v>
      </c>
      <c r="AN47" s="927">
        <f t="shared" si="15"/>
        <v>15.68</v>
      </c>
      <c r="AO47" s="927"/>
      <c r="AQ47" s="533"/>
      <c r="AR47" s="532"/>
      <c r="AS47" s="533"/>
      <c r="AT47" s="531"/>
      <c r="AU47" s="533"/>
      <c r="AV47" s="531"/>
      <c r="AW47" s="533"/>
      <c r="AX47" s="533"/>
      <c r="AY47" s="531"/>
      <c r="AZ47" s="531"/>
      <c r="BA47" s="531"/>
      <c r="BB47" s="531"/>
      <c r="BC47" s="531"/>
      <c r="BD47" s="531"/>
      <c r="BE47" s="531"/>
      <c r="BF47" s="531"/>
      <c r="BG47" s="531"/>
      <c r="BH47" s="531"/>
      <c r="BI47" s="531"/>
      <c r="BJ47" s="531"/>
      <c r="BK47" s="531"/>
      <c r="BL47" s="531"/>
      <c r="BM47" s="531"/>
      <c r="BN47" s="531"/>
      <c r="BO47" s="531"/>
    </row>
    <row r="48" spans="1:67" s="313" customFormat="1" ht="157.5" customHeight="1" x14ac:dyDescent="0.25">
      <c r="A48" s="1073" t="s">
        <v>546</v>
      </c>
      <c r="B48" s="1074" t="s">
        <v>739</v>
      </c>
      <c r="C48" s="1075" t="s">
        <v>621</v>
      </c>
      <c r="D48" s="1075" t="str">
        <f t="shared" ref="D48:AM49" si="23">D49</f>
        <v>нд</v>
      </c>
      <c r="E48" s="1075">
        <f t="shared" si="23"/>
        <v>2021</v>
      </c>
      <c r="F48" s="1075" t="str">
        <f t="shared" si="23"/>
        <v>нд</v>
      </c>
      <c r="G48" s="1075">
        <f t="shared" si="23"/>
        <v>2024</v>
      </c>
      <c r="H48" s="1076">
        <f>H49</f>
        <v>111.87</v>
      </c>
      <c r="I48" s="1075">
        <f t="shared" si="23"/>
        <v>111.87</v>
      </c>
      <c r="J48" s="1075" t="str">
        <f t="shared" si="23"/>
        <v>нд</v>
      </c>
      <c r="K48" s="1075">
        <v>111.87</v>
      </c>
      <c r="L48" s="1075">
        <f t="shared" si="23"/>
        <v>0</v>
      </c>
      <c r="M48" s="1075">
        <f t="shared" si="23"/>
        <v>0</v>
      </c>
      <c r="N48" s="1075">
        <v>111.87</v>
      </c>
      <c r="O48" s="1075">
        <f t="shared" si="23"/>
        <v>0</v>
      </c>
      <c r="P48" s="989">
        <f>'2 (цены с НДС)'!S48/1.2</f>
        <v>111.88</v>
      </c>
      <c r="Q48" s="1075">
        <f t="shared" si="23"/>
        <v>0</v>
      </c>
      <c r="R48" s="1075">
        <f t="shared" si="23"/>
        <v>0</v>
      </c>
      <c r="S48" s="1075">
        <f t="shared" si="23"/>
        <v>111.87</v>
      </c>
      <c r="T48" s="1075">
        <f t="shared" si="23"/>
        <v>0</v>
      </c>
      <c r="U48" s="1075" t="str">
        <f t="shared" si="23"/>
        <v>нд</v>
      </c>
      <c r="V48" s="1075" t="str">
        <f t="shared" si="23"/>
        <v>нд</v>
      </c>
      <c r="W48" s="1075" t="str">
        <f t="shared" si="23"/>
        <v>нд</v>
      </c>
      <c r="X48" s="1075" t="str">
        <f t="shared" si="23"/>
        <v>нд</v>
      </c>
      <c r="Y48" s="1075" t="str">
        <f t="shared" si="23"/>
        <v>нд</v>
      </c>
      <c r="Z48" s="1075" t="str">
        <f t="shared" si="23"/>
        <v>нд</v>
      </c>
      <c r="AA48" s="1075" t="str">
        <f t="shared" si="23"/>
        <v>нд</v>
      </c>
      <c r="AB48" s="1075" t="str">
        <f t="shared" si="23"/>
        <v>нд</v>
      </c>
      <c r="AC48" s="1075">
        <f t="shared" si="23"/>
        <v>0</v>
      </c>
      <c r="AD48" s="1075">
        <f t="shared" si="23"/>
        <v>0</v>
      </c>
      <c r="AE48" s="1076">
        <v>26.88</v>
      </c>
      <c r="AF48" s="1076">
        <f t="shared" si="23"/>
        <v>26.88</v>
      </c>
      <c r="AG48" s="1075">
        <v>27.29</v>
      </c>
      <c r="AH48" s="1075">
        <f t="shared" si="23"/>
        <v>27.29</v>
      </c>
      <c r="AI48" s="1075">
        <v>29.88</v>
      </c>
      <c r="AJ48" s="1075">
        <f t="shared" si="23"/>
        <v>29.88</v>
      </c>
      <c r="AK48" s="1075">
        <v>27.82</v>
      </c>
      <c r="AL48" s="1075">
        <f t="shared" si="23"/>
        <v>27.82</v>
      </c>
      <c r="AM48" s="1075">
        <f t="shared" si="23"/>
        <v>111.87</v>
      </c>
      <c r="AN48" s="989">
        <f t="shared" si="15"/>
        <v>111.88</v>
      </c>
      <c r="AO48" s="1076"/>
      <c r="AQ48" s="533">
        <v>111.87</v>
      </c>
      <c r="AR48" s="532">
        <v>32.25</v>
      </c>
      <c r="AS48" s="533"/>
      <c r="AT48" s="531"/>
      <c r="AU48" s="533"/>
      <c r="AV48" s="531"/>
      <c r="AW48" s="533"/>
      <c r="AX48" s="533"/>
      <c r="AY48" s="531"/>
      <c r="AZ48" s="531"/>
      <c r="BA48" s="531"/>
      <c r="BB48" s="531"/>
      <c r="BC48" s="531"/>
      <c r="BD48" s="531"/>
      <c r="BE48" s="531"/>
      <c r="BF48" s="531"/>
      <c r="BG48" s="531"/>
      <c r="BH48" s="531"/>
      <c r="BI48" s="531"/>
      <c r="BJ48" s="531"/>
      <c r="BK48" s="531"/>
      <c r="BL48" s="531"/>
      <c r="BM48" s="531"/>
      <c r="BN48" s="531"/>
      <c r="BO48" s="531"/>
    </row>
    <row r="49" spans="1:67" s="313" customFormat="1" ht="114" customHeight="1" x14ac:dyDescent="0.25">
      <c r="A49" s="380" t="s">
        <v>599</v>
      </c>
      <c r="B49" s="381" t="s">
        <v>740</v>
      </c>
      <c r="C49" s="954" t="s">
        <v>621</v>
      </c>
      <c r="D49" s="954" t="str">
        <f t="shared" si="23"/>
        <v>нд</v>
      </c>
      <c r="E49" s="954">
        <f t="shared" si="23"/>
        <v>2021</v>
      </c>
      <c r="F49" s="954" t="str">
        <f t="shared" si="23"/>
        <v>нд</v>
      </c>
      <c r="G49" s="954">
        <f t="shared" si="23"/>
        <v>2024</v>
      </c>
      <c r="H49" s="955">
        <f>H50</f>
        <v>111.87</v>
      </c>
      <c r="I49" s="955">
        <f>H49</f>
        <v>111.87</v>
      </c>
      <c r="J49" s="954" t="str">
        <f t="shared" si="23"/>
        <v>нд</v>
      </c>
      <c r="K49" s="954">
        <v>111.87</v>
      </c>
      <c r="L49" s="954">
        <f t="shared" si="23"/>
        <v>0</v>
      </c>
      <c r="M49" s="954">
        <f t="shared" si="23"/>
        <v>0</v>
      </c>
      <c r="N49" s="955">
        <v>111.87</v>
      </c>
      <c r="O49" s="954">
        <f t="shared" si="23"/>
        <v>0</v>
      </c>
      <c r="P49" s="927">
        <f>'2 (цены с НДС)'!S49/1.2</f>
        <v>111.88</v>
      </c>
      <c r="Q49" s="954">
        <f t="shared" si="23"/>
        <v>0</v>
      </c>
      <c r="R49" s="954">
        <f t="shared" si="23"/>
        <v>0</v>
      </c>
      <c r="S49" s="954">
        <f t="shared" si="23"/>
        <v>111.87</v>
      </c>
      <c r="T49" s="954">
        <f t="shared" si="23"/>
        <v>0</v>
      </c>
      <c r="U49" s="954" t="str">
        <f t="shared" si="23"/>
        <v>нд</v>
      </c>
      <c r="V49" s="954" t="str">
        <f t="shared" si="23"/>
        <v>нд</v>
      </c>
      <c r="W49" s="954" t="str">
        <f t="shared" si="23"/>
        <v>нд</v>
      </c>
      <c r="X49" s="954" t="str">
        <f t="shared" si="23"/>
        <v>нд</v>
      </c>
      <c r="Y49" s="954" t="str">
        <f t="shared" si="23"/>
        <v>нд</v>
      </c>
      <c r="Z49" s="954" t="str">
        <f t="shared" si="23"/>
        <v>нд</v>
      </c>
      <c r="AA49" s="954" t="str">
        <f t="shared" si="23"/>
        <v>нд</v>
      </c>
      <c r="AB49" s="954" t="str">
        <f t="shared" si="23"/>
        <v>нд</v>
      </c>
      <c r="AC49" s="954">
        <f t="shared" si="23"/>
        <v>0</v>
      </c>
      <c r="AD49" s="954">
        <f t="shared" si="23"/>
        <v>0</v>
      </c>
      <c r="AE49" s="927">
        <v>26.88</v>
      </c>
      <c r="AF49" s="927">
        <f t="shared" si="23"/>
        <v>26.88</v>
      </c>
      <c r="AG49" s="954">
        <v>27.29</v>
      </c>
      <c r="AH49" s="954">
        <f t="shared" si="23"/>
        <v>27.29</v>
      </c>
      <c r="AI49" s="954">
        <v>29.88</v>
      </c>
      <c r="AJ49" s="954">
        <f t="shared" si="23"/>
        <v>29.88</v>
      </c>
      <c r="AK49" s="954">
        <v>27.82</v>
      </c>
      <c r="AL49" s="954">
        <f t="shared" si="23"/>
        <v>27.82</v>
      </c>
      <c r="AM49" s="954">
        <f t="shared" si="23"/>
        <v>111.87</v>
      </c>
      <c r="AN49" s="927">
        <f t="shared" si="15"/>
        <v>111.88</v>
      </c>
      <c r="AO49" s="927"/>
      <c r="AQ49" s="533">
        <v>111.87</v>
      </c>
      <c r="AR49" s="532">
        <v>32.25</v>
      </c>
      <c r="AS49" s="533"/>
      <c r="AT49" s="531"/>
      <c r="AU49" s="533"/>
      <c r="AV49" s="531"/>
      <c r="AW49" s="533"/>
      <c r="AX49" s="533"/>
      <c r="AY49" s="531"/>
      <c r="AZ49" s="531"/>
      <c r="BA49" s="531"/>
      <c r="BB49" s="531"/>
      <c r="BC49" s="531"/>
      <c r="BD49" s="531"/>
      <c r="BE49" s="531"/>
      <c r="BF49" s="531"/>
      <c r="BG49" s="531"/>
      <c r="BH49" s="531"/>
      <c r="BI49" s="531"/>
      <c r="BJ49" s="531"/>
      <c r="BK49" s="531"/>
      <c r="BL49" s="531"/>
      <c r="BM49" s="531"/>
      <c r="BN49" s="531"/>
      <c r="BO49" s="531"/>
    </row>
    <row r="50" spans="1:67" s="313" customFormat="1" ht="114" customHeight="1" x14ac:dyDescent="0.25">
      <c r="A50" s="702" t="s">
        <v>947</v>
      </c>
      <c r="B50" s="958" t="s">
        <v>948</v>
      </c>
      <c r="C50" s="954" t="s">
        <v>1056</v>
      </c>
      <c r="D50" s="954" t="s">
        <v>621</v>
      </c>
      <c r="E50" s="954">
        <v>2021</v>
      </c>
      <c r="F50" s="954" t="s">
        <v>621</v>
      </c>
      <c r="G50" s="954">
        <v>2024</v>
      </c>
      <c r="H50" s="955">
        <f>'2 (цены с НДС)'!Q48/1.2-0.01</f>
        <v>111.87</v>
      </c>
      <c r="I50" s="927">
        <f>K50</f>
        <v>111.87</v>
      </c>
      <c r="J50" s="956" t="s">
        <v>621</v>
      </c>
      <c r="K50" s="927">
        <v>111.87</v>
      </c>
      <c r="L50" s="957">
        <v>0</v>
      </c>
      <c r="M50" s="957">
        <v>0</v>
      </c>
      <c r="N50" s="955">
        <v>111.87</v>
      </c>
      <c r="O50" s="957">
        <v>0</v>
      </c>
      <c r="P50" s="927">
        <f>'2 (цены с НДС)'!S50/1.2</f>
        <v>111.88</v>
      </c>
      <c r="Q50" s="957">
        <v>0</v>
      </c>
      <c r="R50" s="957">
        <v>0</v>
      </c>
      <c r="S50" s="927">
        <v>111.87</v>
      </c>
      <c r="T50" s="957">
        <v>0</v>
      </c>
      <c r="U50" s="927" t="s">
        <v>621</v>
      </c>
      <c r="V50" s="927" t="s">
        <v>621</v>
      </c>
      <c r="W50" s="927" t="s">
        <v>621</v>
      </c>
      <c r="X50" s="927" t="s">
        <v>621</v>
      </c>
      <c r="Y50" s="927" t="s">
        <v>621</v>
      </c>
      <c r="Z50" s="927" t="s">
        <v>621</v>
      </c>
      <c r="AA50" s="927" t="s">
        <v>621</v>
      </c>
      <c r="AB50" s="927" t="s">
        <v>621</v>
      </c>
      <c r="AC50" s="957">
        <v>0</v>
      </c>
      <c r="AD50" s="957">
        <f>'2 (цены с НДС)'!AN50/1.2</f>
        <v>0</v>
      </c>
      <c r="AE50" s="927">
        <v>26.88</v>
      </c>
      <c r="AF50" s="927">
        <f>'2 (цены с НДС)'!AX50/1.2</f>
        <v>26.88</v>
      </c>
      <c r="AG50" s="927">
        <v>27.29</v>
      </c>
      <c r="AH50" s="927">
        <f>'2 (цены с НДС)'!BH50/1.2</f>
        <v>27.29</v>
      </c>
      <c r="AI50" s="927">
        <v>29.88</v>
      </c>
      <c r="AJ50" s="927">
        <f>'2 (цены с НДС)'!BR50/1.2</f>
        <v>29.88</v>
      </c>
      <c r="AK50" s="927">
        <v>27.82</v>
      </c>
      <c r="AL50" s="927">
        <f>'2 (цены с НДС)'!CB50/1.2</f>
        <v>27.82</v>
      </c>
      <c r="AM50" s="927">
        <f>AE50+AC50+AG50+AI50+AK50</f>
        <v>111.87</v>
      </c>
      <c r="AN50" s="927">
        <f t="shared" si="15"/>
        <v>111.88</v>
      </c>
      <c r="AO50" s="927"/>
      <c r="AQ50" s="533">
        <v>111.87</v>
      </c>
      <c r="AR50" s="532">
        <v>32.25</v>
      </c>
      <c r="AS50" s="533"/>
      <c r="AT50" s="531"/>
      <c r="AU50" s="533"/>
      <c r="AV50" s="531"/>
      <c r="AW50" s="533"/>
      <c r="AX50" s="533"/>
      <c r="AY50" s="531"/>
      <c r="AZ50" s="531"/>
      <c r="BA50" s="531"/>
      <c r="BB50" s="531"/>
      <c r="BC50" s="531"/>
      <c r="BD50" s="531"/>
      <c r="BE50" s="531"/>
      <c r="BF50" s="531"/>
      <c r="BG50" s="531"/>
      <c r="BH50" s="531"/>
      <c r="BI50" s="531"/>
      <c r="BJ50" s="531"/>
      <c r="BK50" s="531"/>
      <c r="BL50" s="531"/>
      <c r="BM50" s="531"/>
      <c r="BN50" s="531"/>
      <c r="BO50" s="531"/>
    </row>
    <row r="51" spans="1:67" s="132" customFormat="1" ht="139.5" customHeight="1" x14ac:dyDescent="0.3">
      <c r="A51" s="673" t="s">
        <v>547</v>
      </c>
      <c r="B51" s="1016" t="s">
        <v>705</v>
      </c>
      <c r="C51" s="1069" t="s">
        <v>621</v>
      </c>
      <c r="D51" s="681" t="s">
        <v>621</v>
      </c>
      <c r="E51" s="681" t="s">
        <v>621</v>
      </c>
      <c r="F51" s="681" t="s">
        <v>621</v>
      </c>
      <c r="G51" s="681" t="s">
        <v>621</v>
      </c>
      <c r="H51" s="1056">
        <f>H52</f>
        <v>129.49</v>
      </c>
      <c r="I51" s="1056">
        <f>I52</f>
        <v>132.09</v>
      </c>
      <c r="J51" s="1056" t="s">
        <v>621</v>
      </c>
      <c r="K51" s="1056">
        <v>141.09</v>
      </c>
      <c r="L51" s="1056">
        <f t="shared" ref="L51:T51" si="24">L52</f>
        <v>8.34</v>
      </c>
      <c r="M51" s="1056">
        <f t="shared" si="24"/>
        <v>55.2</v>
      </c>
      <c r="N51" s="1056">
        <f t="shared" si="24"/>
        <v>64.06</v>
      </c>
      <c r="O51" s="1056">
        <f t="shared" si="24"/>
        <v>20.69</v>
      </c>
      <c r="P51" s="1056">
        <f>P52</f>
        <v>133.31</v>
      </c>
      <c r="Q51" s="1056">
        <f t="shared" si="24"/>
        <v>6.61</v>
      </c>
      <c r="R51" s="1056">
        <f t="shared" si="24"/>
        <v>43.42</v>
      </c>
      <c r="S51" s="1056">
        <f t="shared" si="24"/>
        <v>80.61</v>
      </c>
      <c r="T51" s="1056">
        <f t="shared" si="24"/>
        <v>2.67</v>
      </c>
      <c r="U51" s="1056" t="s">
        <v>621</v>
      </c>
      <c r="V51" s="1056" t="s">
        <v>621</v>
      </c>
      <c r="W51" s="1056" t="s">
        <v>621</v>
      </c>
      <c r="X51" s="1056" t="s">
        <v>621</v>
      </c>
      <c r="Y51" s="1056" t="s">
        <v>621</v>
      </c>
      <c r="Z51" s="1056" t="s">
        <v>621</v>
      </c>
      <c r="AA51" s="1056" t="s">
        <v>621</v>
      </c>
      <c r="AB51" s="1056" t="s">
        <v>621</v>
      </c>
      <c r="AC51" s="1056">
        <f t="shared" ref="AC51:AM51" si="25">AC52</f>
        <v>34.770000000000003</v>
      </c>
      <c r="AD51" s="1056">
        <f t="shared" si="25"/>
        <v>34.770000000000003</v>
      </c>
      <c r="AE51" s="1056">
        <f t="shared" si="25"/>
        <v>16.3</v>
      </c>
      <c r="AF51" s="1056">
        <f t="shared" si="25"/>
        <v>12.06</v>
      </c>
      <c r="AG51" s="1056">
        <v>45.21</v>
      </c>
      <c r="AH51" s="1056">
        <f t="shared" si="25"/>
        <v>37.979999999999997</v>
      </c>
      <c r="AI51" s="1056">
        <v>7.49</v>
      </c>
      <c r="AJ51" s="1056">
        <f t="shared" si="25"/>
        <v>8</v>
      </c>
      <c r="AK51" s="1056">
        <v>37.33</v>
      </c>
      <c r="AL51" s="1056">
        <f t="shared" si="25"/>
        <v>40.49</v>
      </c>
      <c r="AM51" s="1056">
        <f t="shared" si="25"/>
        <v>141.09</v>
      </c>
      <c r="AN51" s="989">
        <f t="shared" si="15"/>
        <v>133.31</v>
      </c>
      <c r="AO51" s="1054" t="s">
        <v>621</v>
      </c>
      <c r="AQ51" s="533">
        <v>141.09</v>
      </c>
      <c r="AR51" s="532">
        <v>19.57</v>
      </c>
      <c r="AS51" s="533"/>
      <c r="AT51" s="518"/>
      <c r="AU51" s="534"/>
      <c r="AV51" s="531"/>
      <c r="AW51" s="533"/>
      <c r="AX51" s="533"/>
      <c r="AY51" s="518"/>
      <c r="AZ51" s="518"/>
      <c r="BA51" s="518"/>
      <c r="BB51" s="518"/>
      <c r="BC51" s="518"/>
      <c r="BD51" s="518"/>
      <c r="BE51" s="518"/>
      <c r="BF51" s="518"/>
      <c r="BG51" s="518"/>
      <c r="BH51" s="518"/>
      <c r="BI51" s="518"/>
      <c r="BJ51" s="518"/>
      <c r="BK51" s="518"/>
      <c r="BL51" s="518"/>
      <c r="BM51" s="518"/>
      <c r="BN51" s="518"/>
      <c r="BO51" s="518"/>
    </row>
    <row r="52" spans="1:67" s="132" customFormat="1" ht="98.25" customHeight="1" x14ac:dyDescent="0.3">
      <c r="A52" s="1070" t="s">
        <v>604</v>
      </c>
      <c r="B52" s="1071" t="s">
        <v>707</v>
      </c>
      <c r="C52" s="1072" t="s">
        <v>621</v>
      </c>
      <c r="D52" s="546" t="s">
        <v>621</v>
      </c>
      <c r="E52" s="546" t="s">
        <v>621</v>
      </c>
      <c r="F52" s="546" t="s">
        <v>621</v>
      </c>
      <c r="G52" s="546" t="s">
        <v>621</v>
      </c>
      <c r="H52" s="1054">
        <f>SUM(H53:H69)</f>
        <v>129.49</v>
      </c>
      <c r="I52" s="1054">
        <f>SUM(I53:I71)</f>
        <v>132.09</v>
      </c>
      <c r="J52" s="1054" t="s">
        <v>621</v>
      </c>
      <c r="K52" s="1054">
        <v>141.09</v>
      </c>
      <c r="L52" s="1054">
        <f>SUM(L53:L69)</f>
        <v>8.34</v>
      </c>
      <c r="M52" s="1054">
        <f>SUM(M53:M69)</f>
        <v>55.2</v>
      </c>
      <c r="N52" s="1054">
        <f>SUM(N53:N69)</f>
        <v>64.06</v>
      </c>
      <c r="O52" s="1054">
        <f>SUM(O53:O69)</f>
        <v>20.69</v>
      </c>
      <c r="P52" s="989">
        <f>SUM(P53:P71)</f>
        <v>133.31</v>
      </c>
      <c r="Q52" s="1054">
        <f>SUM(Q53:Q71)</f>
        <v>6.61</v>
      </c>
      <c r="R52" s="1054">
        <f>SUM(R53:R71)</f>
        <v>43.42</v>
      </c>
      <c r="S52" s="1054">
        <f>SUM(S53:S71)</f>
        <v>80.61</v>
      </c>
      <c r="T52" s="1054">
        <f>SUM(T53:T71)</f>
        <v>2.67</v>
      </c>
      <c r="U52" s="1054" t="s">
        <v>621</v>
      </c>
      <c r="V52" s="1054" t="s">
        <v>621</v>
      </c>
      <c r="W52" s="1054" t="s">
        <v>621</v>
      </c>
      <c r="X52" s="1054" t="s">
        <v>621</v>
      </c>
      <c r="Y52" s="1054" t="s">
        <v>621</v>
      </c>
      <c r="Z52" s="1054" t="s">
        <v>621</v>
      </c>
      <c r="AA52" s="1054" t="s">
        <v>621</v>
      </c>
      <c r="AB52" s="1054" t="s">
        <v>621</v>
      </c>
      <c r="AC52" s="1054">
        <f>SUM(AC53:AC55)</f>
        <v>34.770000000000003</v>
      </c>
      <c r="AD52" s="1054">
        <f>SUM(AD53:AD55)</f>
        <v>34.770000000000003</v>
      </c>
      <c r="AE52" s="1054">
        <f>SUM(AE56:AE57)</f>
        <v>16.3</v>
      </c>
      <c r="AF52" s="1054">
        <f>SUM(AF53:AF71)</f>
        <v>12.06</v>
      </c>
      <c r="AG52" s="1054">
        <f>SUM(AG58:AG71)</f>
        <v>45.21</v>
      </c>
      <c r="AH52" s="1054">
        <f>SUM(AH58:AH71)</f>
        <v>37.979999999999997</v>
      </c>
      <c r="AI52" s="1054">
        <v>7.49</v>
      </c>
      <c r="AJ52" s="1054">
        <f>SUM(AJ61:AJ67)</f>
        <v>8</v>
      </c>
      <c r="AK52" s="1054">
        <v>37.33</v>
      </c>
      <c r="AL52" s="1054">
        <f>AL68+AL69</f>
        <v>40.49</v>
      </c>
      <c r="AM52" s="1054">
        <f>SUM(AM53:AM69)-0.01</f>
        <v>141.09</v>
      </c>
      <c r="AN52" s="989">
        <f t="shared" si="15"/>
        <v>133.31</v>
      </c>
      <c r="AO52" s="1054" t="s">
        <v>621</v>
      </c>
      <c r="AQ52" s="533">
        <v>141.09</v>
      </c>
      <c r="AR52" s="532">
        <v>19.57</v>
      </c>
      <c r="AS52" s="533"/>
      <c r="AT52" s="518"/>
      <c r="AU52" s="534"/>
      <c r="AV52" s="531"/>
      <c r="AW52" s="533"/>
      <c r="AX52" s="533"/>
      <c r="AY52" s="518"/>
      <c r="AZ52" s="518"/>
      <c r="BA52" s="518"/>
      <c r="BB52" s="518"/>
      <c r="BC52" s="518"/>
      <c r="BD52" s="518"/>
      <c r="BE52" s="518"/>
      <c r="BF52" s="518"/>
      <c r="BG52" s="518"/>
      <c r="BH52" s="518"/>
      <c r="BI52" s="518"/>
      <c r="BJ52" s="518"/>
      <c r="BK52" s="518"/>
      <c r="BL52" s="518"/>
      <c r="BM52" s="518"/>
      <c r="BN52" s="518"/>
      <c r="BO52" s="518"/>
    </row>
    <row r="53" spans="1:67" s="311" customFormat="1" ht="50.25" customHeight="1" x14ac:dyDescent="0.3">
      <c r="A53" s="153" t="s">
        <v>885</v>
      </c>
      <c r="B53" s="968" t="s">
        <v>860</v>
      </c>
      <c r="C53" s="630" t="s">
        <v>1057</v>
      </c>
      <c r="D53" s="241" t="s">
        <v>823</v>
      </c>
      <c r="E53" s="241">
        <v>2020</v>
      </c>
      <c r="F53" s="241">
        <v>2020</v>
      </c>
      <c r="G53" s="241" t="s">
        <v>621</v>
      </c>
      <c r="H53" s="242">
        <f>'2 (цены с НДС)'!H53/1.2</f>
        <v>7.38</v>
      </c>
      <c r="I53" s="242">
        <f>H53</f>
        <v>7.38</v>
      </c>
      <c r="J53" s="242" t="s">
        <v>621</v>
      </c>
      <c r="K53" s="242">
        <v>7.64</v>
      </c>
      <c r="L53" s="242">
        <f>ROUND(0.39*'17'!E15,2)</f>
        <v>0.41</v>
      </c>
      <c r="M53" s="242">
        <f>ROUND(5.02*'17'!E15,2)</f>
        <v>5.3</v>
      </c>
      <c r="N53" s="242">
        <f>ROUND(1.88*'17'!E15,2)</f>
        <v>1.99</v>
      </c>
      <c r="O53" s="242">
        <f>ROUND(0.09*'17'!E15,2)</f>
        <v>0.1</v>
      </c>
      <c r="P53" s="927">
        <f>'2 (цены с НДС)'!S53/1.2</f>
        <v>7.64</v>
      </c>
      <c r="Q53" s="242">
        <f t="shared" ref="Q53:Q70" si="26">I53*5%</f>
        <v>0.37</v>
      </c>
      <c r="R53" s="242">
        <f t="shared" ref="R53:R70" si="27">(P53-Q53-T53)*35%</f>
        <v>2.4900000000000002</v>
      </c>
      <c r="S53" s="242">
        <f t="shared" ref="S53:S70" si="28">P53-Q53-R53-T53</f>
        <v>4.63</v>
      </c>
      <c r="T53" s="242">
        <f t="shared" ref="T53:T70" si="29">I53*2%</f>
        <v>0.15</v>
      </c>
      <c r="U53" s="242" t="s">
        <v>621</v>
      </c>
      <c r="V53" s="242" t="s">
        <v>621</v>
      </c>
      <c r="W53" s="242" t="s">
        <v>621</v>
      </c>
      <c r="X53" s="242" t="s">
        <v>621</v>
      </c>
      <c r="Y53" s="242" t="s">
        <v>621</v>
      </c>
      <c r="Z53" s="242" t="s">
        <v>621</v>
      </c>
      <c r="AA53" s="242" t="s">
        <v>621</v>
      </c>
      <c r="AB53" s="242" t="s">
        <v>621</v>
      </c>
      <c r="AC53" s="242">
        <f>K53</f>
        <v>7.64</v>
      </c>
      <c r="AD53" s="242">
        <f>AC53</f>
        <v>7.64</v>
      </c>
      <c r="AE53" s="242">
        <v>0</v>
      </c>
      <c r="AF53" s="242">
        <f>AE53</f>
        <v>0</v>
      </c>
      <c r="AG53" s="242">
        <v>0</v>
      </c>
      <c r="AH53" s="242">
        <f>AG53</f>
        <v>0</v>
      </c>
      <c r="AI53" s="242">
        <v>0</v>
      </c>
      <c r="AJ53" s="242">
        <f>AI53</f>
        <v>0</v>
      </c>
      <c r="AK53" s="242">
        <v>0</v>
      </c>
      <c r="AL53" s="242">
        <f>AK53</f>
        <v>0</v>
      </c>
      <c r="AM53" s="242">
        <f>AC53</f>
        <v>7.64</v>
      </c>
      <c r="AN53" s="927">
        <f t="shared" si="15"/>
        <v>7.64</v>
      </c>
      <c r="AO53" s="242" t="s">
        <v>621</v>
      </c>
      <c r="AQ53" s="533">
        <v>7.64</v>
      </c>
      <c r="AR53" s="532" t="s">
        <v>621</v>
      </c>
      <c r="AS53" s="533"/>
      <c r="AT53" s="518"/>
      <c r="AU53" s="534"/>
      <c r="AV53" s="531"/>
      <c r="AW53" s="533"/>
      <c r="AX53" s="533"/>
      <c r="AY53" s="518"/>
      <c r="AZ53" s="518"/>
      <c r="BA53" s="518"/>
      <c r="BB53" s="518"/>
      <c r="BC53" s="518"/>
      <c r="BD53" s="518"/>
      <c r="BE53" s="518"/>
      <c r="BF53" s="518"/>
      <c r="BG53" s="518"/>
      <c r="BH53" s="518"/>
      <c r="BI53" s="518"/>
      <c r="BJ53" s="518"/>
      <c r="BK53" s="518"/>
      <c r="BL53" s="518"/>
      <c r="BM53" s="518"/>
      <c r="BN53" s="518"/>
      <c r="BO53" s="518"/>
    </row>
    <row r="54" spans="1:67" s="311" customFormat="1" ht="50.25" customHeight="1" x14ac:dyDescent="0.3">
      <c r="A54" s="153" t="s">
        <v>886</v>
      </c>
      <c r="B54" s="968" t="s">
        <v>861</v>
      </c>
      <c r="C54" s="630" t="s">
        <v>1058</v>
      </c>
      <c r="D54" s="245" t="s">
        <v>823</v>
      </c>
      <c r="E54" s="245">
        <v>2020</v>
      </c>
      <c r="F54" s="245">
        <v>2020</v>
      </c>
      <c r="G54" s="245" t="s">
        <v>621</v>
      </c>
      <c r="H54" s="242">
        <f>'2 (цены с НДС)'!H54/1.2</f>
        <v>5.38</v>
      </c>
      <c r="I54" s="242">
        <f>H54</f>
        <v>5.38</v>
      </c>
      <c r="J54" s="242" t="s">
        <v>621</v>
      </c>
      <c r="K54" s="242">
        <v>5.58</v>
      </c>
      <c r="L54" s="242">
        <f>ROUND(0.25*'17'!E15,2)</f>
        <v>0.26</v>
      </c>
      <c r="M54" s="242">
        <f>ROUND(3.52*'17'!E15,2)</f>
        <v>3.72</v>
      </c>
      <c r="N54" s="242">
        <f>ROUND(1.46*'17'!E15,2)</f>
        <v>1.54</v>
      </c>
      <c r="O54" s="242">
        <f>ROUND(0.15*'17'!E15,2)</f>
        <v>0.16</v>
      </c>
      <c r="P54" s="927">
        <f>'2 (цены с НДС)'!S54/1.2</f>
        <v>5.58</v>
      </c>
      <c r="Q54" s="242">
        <f t="shared" si="26"/>
        <v>0.27</v>
      </c>
      <c r="R54" s="242">
        <f t="shared" si="27"/>
        <v>1.82</v>
      </c>
      <c r="S54" s="242">
        <f t="shared" si="28"/>
        <v>3.38</v>
      </c>
      <c r="T54" s="242">
        <f t="shared" si="29"/>
        <v>0.11</v>
      </c>
      <c r="U54" s="242" t="s">
        <v>621</v>
      </c>
      <c r="V54" s="242" t="s">
        <v>621</v>
      </c>
      <c r="W54" s="242" t="s">
        <v>621</v>
      </c>
      <c r="X54" s="242" t="s">
        <v>621</v>
      </c>
      <c r="Y54" s="242" t="s">
        <v>621</v>
      </c>
      <c r="Z54" s="242" t="s">
        <v>621</v>
      </c>
      <c r="AA54" s="242" t="s">
        <v>621</v>
      </c>
      <c r="AB54" s="242" t="s">
        <v>621</v>
      </c>
      <c r="AC54" s="242">
        <f>K54</f>
        <v>5.58</v>
      </c>
      <c r="AD54" s="242">
        <f t="shared" ref="AD54:AD69" si="30">AC54</f>
        <v>5.58</v>
      </c>
      <c r="AE54" s="242">
        <v>0</v>
      </c>
      <c r="AF54" s="242">
        <f t="shared" ref="AF54:AF69" si="31">AE54</f>
        <v>0</v>
      </c>
      <c r="AG54" s="242">
        <v>0</v>
      </c>
      <c r="AH54" s="242">
        <f t="shared" ref="AH54:AH69" si="32">AG54</f>
        <v>0</v>
      </c>
      <c r="AI54" s="242">
        <v>0</v>
      </c>
      <c r="AJ54" s="242">
        <f t="shared" ref="AJ54:AJ69" si="33">AI54</f>
        <v>0</v>
      </c>
      <c r="AK54" s="242">
        <v>0</v>
      </c>
      <c r="AL54" s="242">
        <f t="shared" ref="AL54:AL67" si="34">AK54</f>
        <v>0</v>
      </c>
      <c r="AM54" s="242">
        <f>AC54</f>
        <v>5.58</v>
      </c>
      <c r="AN54" s="927">
        <f t="shared" si="15"/>
        <v>5.58</v>
      </c>
      <c r="AO54" s="242" t="s">
        <v>621</v>
      </c>
      <c r="AQ54" s="533">
        <v>5.58</v>
      </c>
      <c r="AR54" s="532" t="s">
        <v>621</v>
      </c>
      <c r="AS54" s="533"/>
      <c r="AT54" s="518"/>
      <c r="AU54" s="534"/>
      <c r="AV54" s="531"/>
      <c r="AW54" s="533"/>
      <c r="AX54" s="533"/>
      <c r="AY54" s="518"/>
      <c r="AZ54" s="518"/>
      <c r="BA54" s="518"/>
      <c r="BB54" s="518"/>
      <c r="BC54" s="518"/>
      <c r="BD54" s="518"/>
      <c r="BE54" s="518"/>
      <c r="BF54" s="518"/>
      <c r="BG54" s="518"/>
      <c r="BH54" s="518"/>
      <c r="BI54" s="518"/>
      <c r="BJ54" s="518"/>
      <c r="BK54" s="518"/>
      <c r="BL54" s="518"/>
      <c r="BM54" s="518"/>
      <c r="BN54" s="518"/>
      <c r="BO54" s="518"/>
    </row>
    <row r="55" spans="1:67" s="311" customFormat="1" ht="87.75" customHeight="1" x14ac:dyDescent="0.3">
      <c r="A55" s="153" t="s">
        <v>887</v>
      </c>
      <c r="B55" s="968" t="s">
        <v>862</v>
      </c>
      <c r="C55" s="630" t="s">
        <v>1059</v>
      </c>
      <c r="D55" s="245" t="s">
        <v>823</v>
      </c>
      <c r="E55" s="245">
        <v>2020</v>
      </c>
      <c r="F55" s="245">
        <v>2020</v>
      </c>
      <c r="G55" s="245" t="s">
        <v>621</v>
      </c>
      <c r="H55" s="242">
        <f>'2 (цены с НДС)'!H55/1.2</f>
        <v>20.8</v>
      </c>
      <c r="I55" s="242">
        <f>H55</f>
        <v>20.8</v>
      </c>
      <c r="J55" s="242" t="s">
        <v>621</v>
      </c>
      <c r="K55" s="242">
        <v>21.55</v>
      </c>
      <c r="L55" s="242">
        <f>ROUND(0.86*'17'!E15,2)</f>
        <v>0.91</v>
      </c>
      <c r="M55" s="242">
        <f>ROUND(5.63*'17'!E15,2)</f>
        <v>5.95</v>
      </c>
      <c r="N55" s="242">
        <f>ROUND(10.24*'17'!E15,2)</f>
        <v>10.81</v>
      </c>
      <c r="O55" s="242">
        <f>ROUND(4.07*'17'!E15,2)</f>
        <v>4.3</v>
      </c>
      <c r="P55" s="927">
        <f>'2 (цены с НДС)'!S55/1.2</f>
        <v>21.55</v>
      </c>
      <c r="Q55" s="242">
        <f t="shared" si="26"/>
        <v>1.04</v>
      </c>
      <c r="R55" s="242">
        <f t="shared" si="27"/>
        <v>7.03</v>
      </c>
      <c r="S55" s="242">
        <f t="shared" si="28"/>
        <v>13.06</v>
      </c>
      <c r="T55" s="242">
        <f t="shared" si="29"/>
        <v>0.42</v>
      </c>
      <c r="U55" s="242" t="s">
        <v>621</v>
      </c>
      <c r="V55" s="242" t="s">
        <v>621</v>
      </c>
      <c r="W55" s="242" t="s">
        <v>621</v>
      </c>
      <c r="X55" s="242" t="s">
        <v>621</v>
      </c>
      <c r="Y55" s="242" t="s">
        <v>621</v>
      </c>
      <c r="Z55" s="242" t="s">
        <v>621</v>
      </c>
      <c r="AA55" s="242" t="s">
        <v>621</v>
      </c>
      <c r="AB55" s="242" t="s">
        <v>621</v>
      </c>
      <c r="AC55" s="242">
        <f>K55</f>
        <v>21.55</v>
      </c>
      <c r="AD55" s="242">
        <f t="shared" si="30"/>
        <v>21.55</v>
      </c>
      <c r="AE55" s="242">
        <v>0</v>
      </c>
      <c r="AF55" s="242">
        <f t="shared" si="31"/>
        <v>0</v>
      </c>
      <c r="AG55" s="242">
        <v>0</v>
      </c>
      <c r="AH55" s="242">
        <f t="shared" si="32"/>
        <v>0</v>
      </c>
      <c r="AI55" s="242">
        <v>0</v>
      </c>
      <c r="AJ55" s="242">
        <f t="shared" si="33"/>
        <v>0</v>
      </c>
      <c r="AK55" s="242">
        <v>0</v>
      </c>
      <c r="AL55" s="242">
        <f t="shared" si="34"/>
        <v>0</v>
      </c>
      <c r="AM55" s="242">
        <f>AC55</f>
        <v>21.55</v>
      </c>
      <c r="AN55" s="927">
        <f t="shared" si="15"/>
        <v>21.55</v>
      </c>
      <c r="AO55" s="242" t="s">
        <v>621</v>
      </c>
      <c r="AQ55" s="533">
        <v>21.55</v>
      </c>
      <c r="AR55" s="532" t="s">
        <v>621</v>
      </c>
      <c r="AS55" s="533"/>
      <c r="AT55" s="518"/>
      <c r="AU55" s="534"/>
      <c r="AV55" s="531"/>
      <c r="AW55" s="533"/>
      <c r="AX55" s="533"/>
      <c r="AY55" s="518"/>
      <c r="AZ55" s="518"/>
      <c r="BA55" s="518"/>
      <c r="BB55" s="518"/>
      <c r="BC55" s="518"/>
      <c r="BD55" s="518"/>
      <c r="BE55" s="518"/>
      <c r="BF55" s="518"/>
      <c r="BG55" s="518"/>
      <c r="BH55" s="518"/>
      <c r="BI55" s="518"/>
      <c r="BJ55" s="518"/>
      <c r="BK55" s="518"/>
      <c r="BL55" s="518"/>
      <c r="BM55" s="518"/>
      <c r="BN55" s="518"/>
      <c r="BO55" s="518"/>
    </row>
    <row r="56" spans="1:67" s="311" customFormat="1" ht="45.75" customHeight="1" x14ac:dyDescent="0.3">
      <c r="A56" s="153" t="s">
        <v>888</v>
      </c>
      <c r="B56" s="968" t="s">
        <v>866</v>
      </c>
      <c r="C56" s="630" t="s">
        <v>1060</v>
      </c>
      <c r="D56" s="245" t="s">
        <v>823</v>
      </c>
      <c r="E56" s="245">
        <v>2021</v>
      </c>
      <c r="F56" s="245">
        <v>2021</v>
      </c>
      <c r="G56" s="245" t="s">
        <v>621</v>
      </c>
      <c r="H56" s="242">
        <f>'2 (цены с НДС)'!H56/1.2</f>
        <v>5.89</v>
      </c>
      <c r="I56" s="242">
        <f>'2 (цены с НДС)'!S56/1.2</f>
        <v>0</v>
      </c>
      <c r="J56" s="242" t="s">
        <v>621</v>
      </c>
      <c r="K56" s="242">
        <v>6.33</v>
      </c>
      <c r="L56" s="242">
        <f>ROUND(0.34*'17'!E15*'17'!F15,2)</f>
        <v>0.38</v>
      </c>
      <c r="M56" s="242">
        <f>ROUND(3.83*'17'!E15*'17'!F15,2)</f>
        <v>4.25</v>
      </c>
      <c r="N56" s="242">
        <f>ROUND(1.6*'17'!E15*'17'!F15,2)</f>
        <v>1.78</v>
      </c>
      <c r="O56" s="242">
        <f>ROUND(0.12*'17'!E15*'17'!F15,2)</f>
        <v>0.13</v>
      </c>
      <c r="P56" s="927">
        <f>'2 (цены с НДС)'!S56/1.2</f>
        <v>0</v>
      </c>
      <c r="Q56" s="242">
        <f t="shared" si="26"/>
        <v>0</v>
      </c>
      <c r="R56" s="242">
        <f t="shared" si="27"/>
        <v>0</v>
      </c>
      <c r="S56" s="242">
        <f t="shared" si="28"/>
        <v>0</v>
      </c>
      <c r="T56" s="242">
        <f t="shared" si="29"/>
        <v>0</v>
      </c>
      <c r="U56" s="242" t="s">
        <v>621</v>
      </c>
      <c r="V56" s="242" t="s">
        <v>621</v>
      </c>
      <c r="W56" s="242" t="s">
        <v>621</v>
      </c>
      <c r="X56" s="242" t="s">
        <v>621</v>
      </c>
      <c r="Y56" s="242" t="s">
        <v>621</v>
      </c>
      <c r="Z56" s="242" t="s">
        <v>621</v>
      </c>
      <c r="AA56" s="242" t="s">
        <v>621</v>
      </c>
      <c r="AB56" s="242" t="s">
        <v>621</v>
      </c>
      <c r="AC56" s="242">
        <v>0</v>
      </c>
      <c r="AD56" s="242">
        <f t="shared" si="30"/>
        <v>0</v>
      </c>
      <c r="AE56" s="242">
        <f>K56</f>
        <v>6.33</v>
      </c>
      <c r="AF56" s="242">
        <v>0</v>
      </c>
      <c r="AG56" s="242">
        <v>0</v>
      </c>
      <c r="AH56" s="242">
        <f t="shared" si="32"/>
        <v>0</v>
      </c>
      <c r="AI56" s="242">
        <v>0</v>
      </c>
      <c r="AJ56" s="242">
        <f t="shared" si="33"/>
        <v>0</v>
      </c>
      <c r="AK56" s="242">
        <v>0</v>
      </c>
      <c r="AL56" s="242">
        <f t="shared" si="34"/>
        <v>0</v>
      </c>
      <c r="AM56" s="242">
        <f>AE56</f>
        <v>6.33</v>
      </c>
      <c r="AN56" s="927">
        <f t="shared" si="15"/>
        <v>0</v>
      </c>
      <c r="AO56" s="242" t="s">
        <v>621</v>
      </c>
      <c r="AQ56" s="533">
        <v>6.33</v>
      </c>
      <c r="AR56" s="532">
        <v>7.6</v>
      </c>
      <c r="AS56" s="533"/>
      <c r="AT56" s="518"/>
      <c r="AU56" s="534"/>
      <c r="AV56" s="531"/>
      <c r="AW56" s="533"/>
      <c r="AX56" s="533"/>
      <c r="AY56" s="518"/>
      <c r="AZ56" s="518"/>
      <c r="BA56" s="518"/>
      <c r="BB56" s="518"/>
      <c r="BC56" s="518"/>
      <c r="BD56" s="518"/>
      <c r="BE56" s="518"/>
      <c r="BF56" s="518"/>
      <c r="BG56" s="518"/>
      <c r="BH56" s="518"/>
      <c r="BI56" s="518"/>
      <c r="BJ56" s="518"/>
      <c r="BK56" s="518"/>
      <c r="BL56" s="518"/>
      <c r="BM56" s="518"/>
      <c r="BN56" s="518"/>
      <c r="BO56" s="518"/>
    </row>
    <row r="57" spans="1:67" s="311" customFormat="1" ht="117" customHeight="1" x14ac:dyDescent="0.3">
      <c r="A57" s="153" t="s">
        <v>889</v>
      </c>
      <c r="B57" s="968" t="s">
        <v>1729</v>
      </c>
      <c r="C57" s="630" t="s">
        <v>1061</v>
      </c>
      <c r="D57" s="245" t="s">
        <v>823</v>
      </c>
      <c r="E57" s="245">
        <v>2021</v>
      </c>
      <c r="F57" s="245">
        <v>2021</v>
      </c>
      <c r="G57" s="245" t="s">
        <v>621</v>
      </c>
      <c r="H57" s="242">
        <f>'2 (цены с НДС)'!H57/1.2</f>
        <v>9.2799999999999994</v>
      </c>
      <c r="I57" s="242">
        <v>12.06</v>
      </c>
      <c r="J57" s="242" t="s">
        <v>621</v>
      </c>
      <c r="K57" s="242">
        <v>9.9700000000000006</v>
      </c>
      <c r="L57" s="242">
        <f>ROUND(0.91*'17'!E15*'17'!F15,2)</f>
        <v>1.01</v>
      </c>
      <c r="M57" s="242">
        <f>ROUND(1.81*'17'!E15*'17'!F15,2)</f>
        <v>2.0099999999999998</v>
      </c>
      <c r="N57" s="242">
        <f>ROUND(5.26*'17'!E15*'17'!F15,2)</f>
        <v>5.84</v>
      </c>
      <c r="O57" s="242">
        <f>ROUND(1.3*'17'!E15*'17'!F15,2)</f>
        <v>1.44</v>
      </c>
      <c r="P57" s="927">
        <f>'2 (цены с НДС)'!S57/1.2</f>
        <v>12.07</v>
      </c>
      <c r="Q57" s="242">
        <f t="shared" si="26"/>
        <v>0.6</v>
      </c>
      <c r="R57" s="242">
        <f t="shared" si="27"/>
        <v>3.93</v>
      </c>
      <c r="S57" s="242">
        <f t="shared" si="28"/>
        <v>7.3</v>
      </c>
      <c r="T57" s="242">
        <f t="shared" si="29"/>
        <v>0.24</v>
      </c>
      <c r="U57" s="242" t="s">
        <v>621</v>
      </c>
      <c r="V57" s="242" t="s">
        <v>621</v>
      </c>
      <c r="W57" s="242" t="s">
        <v>621</v>
      </c>
      <c r="X57" s="242" t="s">
        <v>621</v>
      </c>
      <c r="Y57" s="242" t="s">
        <v>621</v>
      </c>
      <c r="Z57" s="242" t="s">
        <v>621</v>
      </c>
      <c r="AA57" s="242" t="s">
        <v>621</v>
      </c>
      <c r="AB57" s="242" t="s">
        <v>621</v>
      </c>
      <c r="AC57" s="242">
        <v>0</v>
      </c>
      <c r="AD57" s="242">
        <f t="shared" si="30"/>
        <v>0</v>
      </c>
      <c r="AE57" s="242">
        <f>K57</f>
        <v>9.9700000000000006</v>
      </c>
      <c r="AF57" s="242">
        <f>I57</f>
        <v>12.06</v>
      </c>
      <c r="AG57" s="242">
        <v>0</v>
      </c>
      <c r="AH57" s="242">
        <f t="shared" si="32"/>
        <v>0</v>
      </c>
      <c r="AI57" s="242">
        <v>0</v>
      </c>
      <c r="AJ57" s="242">
        <f t="shared" si="33"/>
        <v>0</v>
      </c>
      <c r="AK57" s="242">
        <v>0</v>
      </c>
      <c r="AL57" s="242">
        <f t="shared" si="34"/>
        <v>0</v>
      </c>
      <c r="AM57" s="242">
        <f>AE57</f>
        <v>9.9700000000000006</v>
      </c>
      <c r="AN57" s="927">
        <f t="shared" si="15"/>
        <v>12.07</v>
      </c>
      <c r="AO57" s="242" t="s">
        <v>621</v>
      </c>
      <c r="AQ57" s="533">
        <v>9.98</v>
      </c>
      <c r="AR57" s="532">
        <v>11.97</v>
      </c>
      <c r="AS57" s="533"/>
      <c r="AT57" s="518"/>
      <c r="AU57" s="534"/>
      <c r="AV57" s="531"/>
      <c r="AW57" s="533"/>
      <c r="AX57" s="533"/>
      <c r="AY57" s="518"/>
      <c r="AZ57" s="518"/>
      <c r="BA57" s="518"/>
      <c r="BB57" s="518"/>
      <c r="BC57" s="518"/>
      <c r="BD57" s="518"/>
      <c r="BE57" s="518"/>
      <c r="BF57" s="518"/>
      <c r="BG57" s="518"/>
      <c r="BH57" s="518"/>
      <c r="BI57" s="518"/>
      <c r="BJ57" s="518"/>
      <c r="BK57" s="518"/>
      <c r="BL57" s="518"/>
      <c r="BM57" s="518"/>
      <c r="BN57" s="518"/>
      <c r="BO57" s="518"/>
    </row>
    <row r="58" spans="1:67" s="311" customFormat="1" ht="60.75" customHeight="1" x14ac:dyDescent="0.3">
      <c r="A58" s="153" t="s">
        <v>890</v>
      </c>
      <c r="B58" s="968" t="s">
        <v>871</v>
      </c>
      <c r="C58" s="630" t="s">
        <v>1062</v>
      </c>
      <c r="D58" s="245" t="s">
        <v>823</v>
      </c>
      <c r="E58" s="245">
        <v>2022</v>
      </c>
      <c r="F58" s="245">
        <v>2022</v>
      </c>
      <c r="G58" s="245" t="s">
        <v>621</v>
      </c>
      <c r="H58" s="242">
        <f>'2 (цены с НДС)'!H58/1.2</f>
        <v>6.5</v>
      </c>
      <c r="I58" s="242">
        <f>'2 (цены с НДС)'!S58/1.2</f>
        <v>0</v>
      </c>
      <c r="J58" s="242" t="s">
        <v>621</v>
      </c>
      <c r="K58" s="242">
        <v>7.24</v>
      </c>
      <c r="L58" s="242">
        <f>ROUND(0.47*'17'!E15*'17'!F15*'17'!G15,2)</f>
        <v>0.55000000000000004</v>
      </c>
      <c r="M58" s="242">
        <f>ROUND(4.51*'17'!E15*'17'!F15*'17'!G15,2)</f>
        <v>5.27</v>
      </c>
      <c r="N58" s="242">
        <f>ROUND(1.46*'17'!E15*'17'!F15*'17'!G15,2)</f>
        <v>1.71</v>
      </c>
      <c r="O58" s="242">
        <f>0.09*'17'!E15*'17'!F15*'17'!G15-0.03</f>
        <v>0.08</v>
      </c>
      <c r="P58" s="927">
        <f>'2 (цены с НДС)'!S58/1.2</f>
        <v>0</v>
      </c>
      <c r="Q58" s="242">
        <f t="shared" si="26"/>
        <v>0</v>
      </c>
      <c r="R58" s="242">
        <f t="shared" si="27"/>
        <v>0</v>
      </c>
      <c r="S58" s="242">
        <f t="shared" si="28"/>
        <v>0</v>
      </c>
      <c r="T58" s="242">
        <f t="shared" si="29"/>
        <v>0</v>
      </c>
      <c r="U58" s="242" t="s">
        <v>621</v>
      </c>
      <c r="V58" s="242" t="s">
        <v>621</v>
      </c>
      <c r="W58" s="242" t="s">
        <v>621</v>
      </c>
      <c r="X58" s="242" t="s">
        <v>621</v>
      </c>
      <c r="Y58" s="242" t="s">
        <v>621</v>
      </c>
      <c r="Z58" s="242" t="s">
        <v>621</v>
      </c>
      <c r="AA58" s="242" t="s">
        <v>621</v>
      </c>
      <c r="AB58" s="242" t="s">
        <v>621</v>
      </c>
      <c r="AC58" s="242">
        <v>0</v>
      </c>
      <c r="AD58" s="242">
        <f t="shared" si="30"/>
        <v>0</v>
      </c>
      <c r="AE58" s="242">
        <v>0</v>
      </c>
      <c r="AF58" s="242">
        <f t="shared" si="31"/>
        <v>0</v>
      </c>
      <c r="AG58" s="242">
        <v>7.24</v>
      </c>
      <c r="AH58" s="242">
        <v>0</v>
      </c>
      <c r="AI58" s="242">
        <v>0</v>
      </c>
      <c r="AJ58" s="242">
        <f t="shared" si="33"/>
        <v>0</v>
      </c>
      <c r="AK58" s="242">
        <v>0</v>
      </c>
      <c r="AL58" s="242">
        <f t="shared" si="34"/>
        <v>0</v>
      </c>
      <c r="AM58" s="242">
        <f>AG58</f>
        <v>7.24</v>
      </c>
      <c r="AN58" s="927">
        <f t="shared" si="15"/>
        <v>0</v>
      </c>
      <c r="AO58" s="242" t="s">
        <v>621</v>
      </c>
      <c r="AQ58" s="533">
        <v>7.24</v>
      </c>
      <c r="AR58" s="532" t="s">
        <v>621</v>
      </c>
      <c r="AS58" s="533"/>
      <c r="AT58" s="518"/>
      <c r="AU58" s="534"/>
      <c r="AV58" s="531"/>
      <c r="AW58" s="533"/>
      <c r="AX58" s="533"/>
      <c r="AY58" s="518"/>
      <c r="AZ58" s="518"/>
      <c r="BA58" s="518"/>
      <c r="BB58" s="518"/>
      <c r="BC58" s="518"/>
      <c r="BD58" s="518"/>
      <c r="BE58" s="518"/>
      <c r="BF58" s="518"/>
      <c r="BG58" s="518"/>
      <c r="BH58" s="518"/>
      <c r="BI58" s="518"/>
      <c r="BJ58" s="518"/>
      <c r="BK58" s="518"/>
      <c r="BL58" s="518"/>
      <c r="BM58" s="518"/>
      <c r="BN58" s="518"/>
      <c r="BO58" s="518"/>
    </row>
    <row r="59" spans="1:67" s="311" customFormat="1" ht="51.75" customHeight="1" x14ac:dyDescent="0.3">
      <c r="A59" s="153" t="s">
        <v>891</v>
      </c>
      <c r="B59" s="968" t="s">
        <v>872</v>
      </c>
      <c r="C59" s="630" t="s">
        <v>1063</v>
      </c>
      <c r="D59" s="245" t="s">
        <v>823</v>
      </c>
      <c r="E59" s="245">
        <v>2022</v>
      </c>
      <c r="F59" s="245">
        <v>2022</v>
      </c>
      <c r="G59" s="245" t="s">
        <v>621</v>
      </c>
      <c r="H59" s="242">
        <f>'2 (цены с НДС)'!H59/1.2</f>
        <v>7.92</v>
      </c>
      <c r="I59" s="242">
        <f>'2 (цены с НДС)'!S59/1.2</f>
        <v>0</v>
      </c>
      <c r="J59" s="242" t="s">
        <v>621</v>
      </c>
      <c r="K59" s="242">
        <v>8.82</v>
      </c>
      <c r="L59" s="242">
        <f>ROUND(0.5*'17'!E15*'17'!F15*'17'!G15,2)</f>
        <v>0.57999999999999996</v>
      </c>
      <c r="M59" s="242">
        <f>ROUND(5.43*'17'!E15*'17'!F15*'17'!G15,2)</f>
        <v>6.35</v>
      </c>
      <c r="N59" s="242">
        <f>ROUND(1.91*'17'!E15*'17'!F15*'17'!G15,2)</f>
        <v>2.23</v>
      </c>
      <c r="O59" s="242">
        <f>0.09*'17'!E15*'17'!F15*'17'!G15-0.02</f>
        <v>0.09</v>
      </c>
      <c r="P59" s="927">
        <f>'2 (цены с НДС)'!S59/1.2</f>
        <v>0</v>
      </c>
      <c r="Q59" s="242">
        <f t="shared" si="26"/>
        <v>0</v>
      </c>
      <c r="R59" s="242">
        <f t="shared" si="27"/>
        <v>0</v>
      </c>
      <c r="S59" s="242">
        <f t="shared" si="28"/>
        <v>0</v>
      </c>
      <c r="T59" s="242">
        <f t="shared" si="29"/>
        <v>0</v>
      </c>
      <c r="U59" s="242" t="s">
        <v>621</v>
      </c>
      <c r="V59" s="242" t="s">
        <v>621</v>
      </c>
      <c r="W59" s="242" t="s">
        <v>621</v>
      </c>
      <c r="X59" s="242" t="s">
        <v>621</v>
      </c>
      <c r="Y59" s="242" t="s">
        <v>621</v>
      </c>
      <c r="Z59" s="242" t="s">
        <v>621</v>
      </c>
      <c r="AA59" s="242" t="s">
        <v>621</v>
      </c>
      <c r="AB59" s="242" t="s">
        <v>621</v>
      </c>
      <c r="AC59" s="242">
        <v>0</v>
      </c>
      <c r="AD59" s="242">
        <f t="shared" si="30"/>
        <v>0</v>
      </c>
      <c r="AE59" s="242">
        <v>0</v>
      </c>
      <c r="AF59" s="242">
        <f t="shared" si="31"/>
        <v>0</v>
      </c>
      <c r="AG59" s="242">
        <v>8.82</v>
      </c>
      <c r="AH59" s="242">
        <v>0</v>
      </c>
      <c r="AI59" s="242">
        <v>0</v>
      </c>
      <c r="AJ59" s="242">
        <f t="shared" si="33"/>
        <v>0</v>
      </c>
      <c r="AK59" s="242">
        <v>0</v>
      </c>
      <c r="AL59" s="242">
        <f t="shared" si="34"/>
        <v>0</v>
      </c>
      <c r="AM59" s="242">
        <f>AG59</f>
        <v>8.82</v>
      </c>
      <c r="AN59" s="927">
        <f t="shared" si="15"/>
        <v>0</v>
      </c>
      <c r="AO59" s="242" t="s">
        <v>621</v>
      </c>
      <c r="AQ59" s="533">
        <v>8.82</v>
      </c>
      <c r="AR59" s="532" t="s">
        <v>621</v>
      </c>
      <c r="AS59" s="533"/>
      <c r="AT59" s="518"/>
      <c r="AU59" s="534"/>
      <c r="AV59" s="531"/>
      <c r="AW59" s="533"/>
      <c r="AX59" s="533"/>
      <c r="AY59" s="518"/>
      <c r="AZ59" s="518"/>
      <c r="BA59" s="518"/>
      <c r="BB59" s="518"/>
      <c r="BC59" s="518"/>
      <c r="BD59" s="518"/>
      <c r="BE59" s="518"/>
      <c r="BF59" s="518"/>
      <c r="BG59" s="518"/>
      <c r="BH59" s="518"/>
      <c r="BI59" s="518"/>
      <c r="BJ59" s="518"/>
      <c r="BK59" s="518"/>
      <c r="BL59" s="518"/>
      <c r="BM59" s="518"/>
      <c r="BN59" s="518"/>
      <c r="BO59" s="518"/>
    </row>
    <row r="60" spans="1:67" s="311" customFormat="1" ht="79.5" customHeight="1" x14ac:dyDescent="0.3">
      <c r="A60" s="153" t="s">
        <v>892</v>
      </c>
      <c r="B60" s="968" t="s">
        <v>873</v>
      </c>
      <c r="C60" s="630" t="s">
        <v>1064</v>
      </c>
      <c r="D60" s="245" t="s">
        <v>823</v>
      </c>
      <c r="E60" s="245">
        <v>2022</v>
      </c>
      <c r="F60" s="245">
        <v>2022</v>
      </c>
      <c r="G60" s="245" t="s">
        <v>621</v>
      </c>
      <c r="H60" s="242">
        <f>'2 (цены с НДС)'!H60/1.2</f>
        <v>26.17</v>
      </c>
      <c r="I60" s="242">
        <f>'2 (цены с НДС)'!S60/1.2</f>
        <v>24.33</v>
      </c>
      <c r="J60" s="242" t="s">
        <v>621</v>
      </c>
      <c r="K60" s="242">
        <v>29.15</v>
      </c>
      <c r="L60" s="242">
        <f>1.15*'17'!E15*'17'!F15*'17'!G15</f>
        <v>1.34</v>
      </c>
      <c r="M60" s="242">
        <f>5.97*'17'!E15*'17'!F15*'17'!G15</f>
        <v>6.98</v>
      </c>
      <c r="N60" s="242">
        <f>13.99*'17'!E15*'17'!F15*'17'!G15</f>
        <v>16.350000000000001</v>
      </c>
      <c r="O60" s="242">
        <f>5.04*'17'!E15*'17'!F15*'17'!G15+0.02</f>
        <v>5.91</v>
      </c>
      <c r="P60" s="927">
        <f>'2 (цены с НДС)'!S60/1.2</f>
        <v>24.33</v>
      </c>
      <c r="Q60" s="242">
        <f t="shared" si="26"/>
        <v>1.22</v>
      </c>
      <c r="R60" s="242">
        <f t="shared" si="27"/>
        <v>7.92</v>
      </c>
      <c r="S60" s="242">
        <f t="shared" si="28"/>
        <v>14.7</v>
      </c>
      <c r="T60" s="242">
        <f t="shared" si="29"/>
        <v>0.49</v>
      </c>
      <c r="U60" s="242" t="s">
        <v>621</v>
      </c>
      <c r="V60" s="242" t="s">
        <v>621</v>
      </c>
      <c r="W60" s="242" t="s">
        <v>621</v>
      </c>
      <c r="X60" s="242" t="s">
        <v>621</v>
      </c>
      <c r="Y60" s="242" t="s">
        <v>621</v>
      </c>
      <c r="Z60" s="242" t="s">
        <v>621</v>
      </c>
      <c r="AA60" s="242" t="s">
        <v>621</v>
      </c>
      <c r="AB60" s="242" t="s">
        <v>621</v>
      </c>
      <c r="AC60" s="242">
        <v>0</v>
      </c>
      <c r="AD60" s="242">
        <f t="shared" si="30"/>
        <v>0</v>
      </c>
      <c r="AE60" s="242">
        <v>0</v>
      </c>
      <c r="AF60" s="242">
        <f t="shared" si="31"/>
        <v>0</v>
      </c>
      <c r="AG60" s="242">
        <v>29.15</v>
      </c>
      <c r="AH60" s="242">
        <f>P60</f>
        <v>24.33</v>
      </c>
      <c r="AI60" s="242">
        <v>0</v>
      </c>
      <c r="AJ60" s="242">
        <f t="shared" si="33"/>
        <v>0</v>
      </c>
      <c r="AK60" s="242">
        <v>0</v>
      </c>
      <c r="AL60" s="242">
        <f t="shared" si="34"/>
        <v>0</v>
      </c>
      <c r="AM60" s="242">
        <f>AG60</f>
        <v>29.15</v>
      </c>
      <c r="AN60" s="927">
        <f t="shared" si="15"/>
        <v>24.33</v>
      </c>
      <c r="AO60" s="242" t="s">
        <v>621</v>
      </c>
      <c r="AQ60" s="533">
        <v>29.15</v>
      </c>
      <c r="AR60" s="532" t="s">
        <v>621</v>
      </c>
      <c r="AS60" s="533"/>
      <c r="AT60" s="518"/>
      <c r="AU60" s="534"/>
      <c r="AV60" s="531"/>
      <c r="AW60" s="533"/>
      <c r="AX60" s="533"/>
      <c r="AY60" s="518"/>
      <c r="AZ60" s="518"/>
      <c r="BA60" s="518"/>
      <c r="BB60" s="518"/>
      <c r="BC60" s="518"/>
      <c r="BD60" s="518"/>
      <c r="BE60" s="518"/>
      <c r="BF60" s="518"/>
      <c r="BG60" s="518"/>
      <c r="BH60" s="518"/>
      <c r="BI60" s="518"/>
      <c r="BJ60" s="518"/>
      <c r="BK60" s="518"/>
      <c r="BL60" s="518"/>
      <c r="BM60" s="518"/>
      <c r="BN60" s="518"/>
      <c r="BO60" s="518"/>
    </row>
    <row r="61" spans="1:67" s="311" customFormat="1" ht="79.5" customHeight="1" x14ac:dyDescent="0.3">
      <c r="A61" s="153" t="s">
        <v>893</v>
      </c>
      <c r="B61" s="968" t="s">
        <v>877</v>
      </c>
      <c r="C61" s="630" t="s">
        <v>1065</v>
      </c>
      <c r="D61" s="245" t="s">
        <v>823</v>
      </c>
      <c r="E61" s="245">
        <v>2023</v>
      </c>
      <c r="F61" s="245">
        <v>2023</v>
      </c>
      <c r="G61" s="245" t="s">
        <v>621</v>
      </c>
      <c r="H61" s="242">
        <f>'2 (цены с НДС)'!H61/1.2</f>
        <v>1.0900000000000001</v>
      </c>
      <c r="I61" s="242">
        <f>'2 (цены с НДС)'!S61/1.2</f>
        <v>1.35</v>
      </c>
      <c r="J61" s="242" t="s">
        <v>621</v>
      </c>
      <c r="K61" s="242">
        <v>1.26</v>
      </c>
      <c r="L61" s="242">
        <f>0.16*'17'!E15*'17'!F15*'17'!G15*'17'!H15</f>
        <v>0.2</v>
      </c>
      <c r="M61" s="242">
        <f>0.21*'17'!E15*'17'!F15*'17'!G15*'17'!H15</f>
        <v>0.26</v>
      </c>
      <c r="N61" s="242">
        <f>0.67*'17'!E15*'17'!F15*'17'!G15*'17'!H15</f>
        <v>0.83</v>
      </c>
      <c r="O61" s="242">
        <f>0.053*'17'!E15*'17'!F15*'17'!G15*'17'!H15</f>
        <v>7.0000000000000007E-2</v>
      </c>
      <c r="P61" s="927">
        <f>'2 (цены с НДС)'!S61/1.2</f>
        <v>1.35</v>
      </c>
      <c r="Q61" s="242">
        <f t="shared" si="26"/>
        <v>7.0000000000000007E-2</v>
      </c>
      <c r="R61" s="242">
        <f t="shared" si="27"/>
        <v>0.44</v>
      </c>
      <c r="S61" s="242">
        <f t="shared" si="28"/>
        <v>0.81</v>
      </c>
      <c r="T61" s="242">
        <f t="shared" si="29"/>
        <v>0.03</v>
      </c>
      <c r="U61" s="242" t="s">
        <v>621</v>
      </c>
      <c r="V61" s="242" t="s">
        <v>621</v>
      </c>
      <c r="W61" s="242" t="s">
        <v>621</v>
      </c>
      <c r="X61" s="242" t="s">
        <v>621</v>
      </c>
      <c r="Y61" s="242" t="s">
        <v>621</v>
      </c>
      <c r="Z61" s="242" t="s">
        <v>621</v>
      </c>
      <c r="AA61" s="242" t="s">
        <v>621</v>
      </c>
      <c r="AB61" s="242" t="s">
        <v>621</v>
      </c>
      <c r="AC61" s="242">
        <v>0</v>
      </c>
      <c r="AD61" s="242">
        <f t="shared" si="30"/>
        <v>0</v>
      </c>
      <c r="AE61" s="242">
        <v>0</v>
      </c>
      <c r="AF61" s="242">
        <f t="shared" si="31"/>
        <v>0</v>
      </c>
      <c r="AG61" s="242">
        <v>0</v>
      </c>
      <c r="AH61" s="242">
        <f t="shared" si="32"/>
        <v>0</v>
      </c>
      <c r="AI61" s="242">
        <v>1.26</v>
      </c>
      <c r="AJ61" s="242">
        <f t="shared" ref="AJ61:AJ67" si="35">AN61</f>
        <v>1.35</v>
      </c>
      <c r="AK61" s="242">
        <v>0</v>
      </c>
      <c r="AL61" s="242">
        <f t="shared" si="34"/>
        <v>0</v>
      </c>
      <c r="AM61" s="242">
        <f t="shared" ref="AM61:AM67" si="36">AI61</f>
        <v>1.26</v>
      </c>
      <c r="AN61" s="927">
        <f t="shared" si="15"/>
        <v>1.35</v>
      </c>
      <c r="AO61" s="242" t="s">
        <v>621</v>
      </c>
      <c r="AQ61" s="533">
        <v>1.26</v>
      </c>
      <c r="AR61" s="532" t="s">
        <v>621</v>
      </c>
      <c r="AS61" s="533"/>
      <c r="AT61" s="518"/>
      <c r="AU61" s="534"/>
      <c r="AV61" s="531"/>
      <c r="AW61" s="533"/>
      <c r="AX61" s="533"/>
      <c r="AY61" s="518"/>
      <c r="AZ61" s="518"/>
      <c r="BA61" s="518"/>
      <c r="BB61" s="518"/>
      <c r="BC61" s="518"/>
      <c r="BD61" s="518"/>
      <c r="BE61" s="518"/>
      <c r="BF61" s="518"/>
      <c r="BG61" s="518"/>
      <c r="BH61" s="518"/>
      <c r="BI61" s="518"/>
      <c r="BJ61" s="518"/>
      <c r="BK61" s="518"/>
      <c r="BL61" s="518"/>
      <c r="BM61" s="518"/>
      <c r="BN61" s="518"/>
      <c r="BO61" s="518"/>
    </row>
    <row r="62" spans="1:67" s="311" customFormat="1" ht="79.5" customHeight="1" x14ac:dyDescent="0.3">
      <c r="A62" s="153" t="s">
        <v>894</v>
      </c>
      <c r="B62" s="968" t="s">
        <v>878</v>
      </c>
      <c r="C62" s="630" t="s">
        <v>1066</v>
      </c>
      <c r="D62" s="245" t="s">
        <v>823</v>
      </c>
      <c r="E62" s="245">
        <v>2023</v>
      </c>
      <c r="F62" s="245">
        <v>2023</v>
      </c>
      <c r="G62" s="245" t="s">
        <v>621</v>
      </c>
      <c r="H62" s="242">
        <f>'2 (цены с НДС)'!H62/1.2</f>
        <v>1</v>
      </c>
      <c r="I62" s="242">
        <f>'2 (цены с НДС)'!S62/1.2</f>
        <v>1.23</v>
      </c>
      <c r="J62" s="242" t="s">
        <v>621</v>
      </c>
      <c r="K62" s="242">
        <v>1.1599999999999999</v>
      </c>
      <c r="L62" s="242">
        <f>0.16*'17'!E15*'17'!F15*'17'!G15*'17'!H15</f>
        <v>0.2</v>
      </c>
      <c r="M62" s="242">
        <f>0.21*'17'!E15*'17'!F15*'17'!G15*'17'!H15</f>
        <v>0.26</v>
      </c>
      <c r="N62" s="242">
        <f>0.58*'17'!E15*'17'!F15*'17'!G15*'17'!H15</f>
        <v>0.72</v>
      </c>
      <c r="O62" s="242">
        <f>0.053*'17'!E15*'17'!F15*'17'!G15*'17'!H15</f>
        <v>7.0000000000000007E-2</v>
      </c>
      <c r="P62" s="927">
        <f>'2 (цены с НДС)'!S62/1.2</f>
        <v>1.23</v>
      </c>
      <c r="Q62" s="242">
        <f t="shared" si="26"/>
        <v>0.06</v>
      </c>
      <c r="R62" s="242">
        <f t="shared" si="27"/>
        <v>0.4</v>
      </c>
      <c r="S62" s="242">
        <f t="shared" si="28"/>
        <v>0.75</v>
      </c>
      <c r="T62" s="242">
        <f t="shared" si="29"/>
        <v>0.02</v>
      </c>
      <c r="U62" s="242" t="s">
        <v>621</v>
      </c>
      <c r="V62" s="242" t="s">
        <v>621</v>
      </c>
      <c r="W62" s="242" t="s">
        <v>621</v>
      </c>
      <c r="X62" s="242" t="s">
        <v>621</v>
      </c>
      <c r="Y62" s="242" t="s">
        <v>621</v>
      </c>
      <c r="Z62" s="242" t="s">
        <v>621</v>
      </c>
      <c r="AA62" s="242" t="s">
        <v>621</v>
      </c>
      <c r="AB62" s="242" t="s">
        <v>621</v>
      </c>
      <c r="AC62" s="242">
        <v>0</v>
      </c>
      <c r="AD62" s="242">
        <f t="shared" si="30"/>
        <v>0</v>
      </c>
      <c r="AE62" s="242">
        <v>0</v>
      </c>
      <c r="AF62" s="242">
        <f t="shared" si="31"/>
        <v>0</v>
      </c>
      <c r="AG62" s="242">
        <v>0</v>
      </c>
      <c r="AH62" s="242">
        <f t="shared" si="32"/>
        <v>0</v>
      </c>
      <c r="AI62" s="242">
        <v>1.1599999999999999</v>
      </c>
      <c r="AJ62" s="242">
        <f t="shared" si="35"/>
        <v>1.23</v>
      </c>
      <c r="AK62" s="242">
        <v>0</v>
      </c>
      <c r="AL62" s="242">
        <f t="shared" si="34"/>
        <v>0</v>
      </c>
      <c r="AM62" s="242">
        <f t="shared" si="36"/>
        <v>1.1599999999999999</v>
      </c>
      <c r="AN62" s="927">
        <f t="shared" si="15"/>
        <v>1.23</v>
      </c>
      <c r="AO62" s="242" t="s">
        <v>621</v>
      </c>
      <c r="AQ62" s="533">
        <v>1.1599999999999999</v>
      </c>
      <c r="AR62" s="532" t="s">
        <v>621</v>
      </c>
      <c r="AS62" s="533"/>
      <c r="AT62" s="518"/>
      <c r="AU62" s="534"/>
      <c r="AV62" s="531"/>
      <c r="AW62" s="533"/>
      <c r="AX62" s="533"/>
      <c r="AY62" s="518"/>
      <c r="AZ62" s="518"/>
      <c r="BA62" s="518"/>
      <c r="BB62" s="518"/>
      <c r="BC62" s="518"/>
      <c r="BD62" s="518"/>
      <c r="BE62" s="518"/>
      <c r="BF62" s="518"/>
      <c r="BG62" s="518"/>
      <c r="BH62" s="518"/>
      <c r="BI62" s="518"/>
      <c r="BJ62" s="518"/>
      <c r="BK62" s="518"/>
      <c r="BL62" s="518"/>
      <c r="BM62" s="518"/>
      <c r="BN62" s="518"/>
      <c r="BO62" s="518"/>
    </row>
    <row r="63" spans="1:67" s="311" customFormat="1" ht="79.5" customHeight="1" x14ac:dyDescent="0.3">
      <c r="A63" s="153" t="s">
        <v>895</v>
      </c>
      <c r="B63" s="968" t="s">
        <v>879</v>
      </c>
      <c r="C63" s="630" t="s">
        <v>1067</v>
      </c>
      <c r="D63" s="245" t="s">
        <v>823</v>
      </c>
      <c r="E63" s="245">
        <v>2023</v>
      </c>
      <c r="F63" s="245">
        <v>2023</v>
      </c>
      <c r="G63" s="245" t="s">
        <v>621</v>
      </c>
      <c r="H63" s="242">
        <f>'2 (цены с НДС)'!H63/1.2</f>
        <v>0.64</v>
      </c>
      <c r="I63" s="242">
        <f>'2 (цены с НДС)'!S63/1.2</f>
        <v>0.79</v>
      </c>
      <c r="J63" s="242" t="s">
        <v>621</v>
      </c>
      <c r="K63" s="242">
        <v>0.74</v>
      </c>
      <c r="L63" s="242">
        <f>0.16*'17'!E15*'17'!F15*'17'!G15*'17'!H15</f>
        <v>0.2</v>
      </c>
      <c r="M63" s="242">
        <f>0.11*'17'!E15*'17'!F15*'17'!G15*'17'!H15</f>
        <v>0.14000000000000001</v>
      </c>
      <c r="N63" s="242">
        <f>0.33*'17'!E15*'17'!F15*'17'!G15*'17'!H15</f>
        <v>0.41</v>
      </c>
      <c r="O63" s="242">
        <f>0.036*'17'!E15*'17'!F15*'17'!G15*'17'!H15</f>
        <v>0.04</v>
      </c>
      <c r="P63" s="927">
        <f>'2 (цены с НДС)'!S63/1.2</f>
        <v>0.79</v>
      </c>
      <c r="Q63" s="242">
        <f t="shared" si="26"/>
        <v>0.04</v>
      </c>
      <c r="R63" s="242">
        <f t="shared" si="27"/>
        <v>0.26</v>
      </c>
      <c r="S63" s="242">
        <f t="shared" si="28"/>
        <v>0.47</v>
      </c>
      <c r="T63" s="242">
        <f t="shared" si="29"/>
        <v>0.02</v>
      </c>
      <c r="U63" s="242" t="s">
        <v>621</v>
      </c>
      <c r="V63" s="242" t="s">
        <v>621</v>
      </c>
      <c r="W63" s="242" t="s">
        <v>621</v>
      </c>
      <c r="X63" s="242" t="s">
        <v>621</v>
      </c>
      <c r="Y63" s="242" t="s">
        <v>621</v>
      </c>
      <c r="Z63" s="242" t="s">
        <v>621</v>
      </c>
      <c r="AA63" s="242" t="s">
        <v>621</v>
      </c>
      <c r="AB63" s="242" t="s">
        <v>621</v>
      </c>
      <c r="AC63" s="242">
        <v>0</v>
      </c>
      <c r="AD63" s="242">
        <f t="shared" si="30"/>
        <v>0</v>
      </c>
      <c r="AE63" s="242">
        <v>0</v>
      </c>
      <c r="AF63" s="242">
        <f t="shared" si="31"/>
        <v>0</v>
      </c>
      <c r="AG63" s="242">
        <v>0</v>
      </c>
      <c r="AH63" s="242">
        <f t="shared" si="32"/>
        <v>0</v>
      </c>
      <c r="AI63" s="242">
        <v>0.74</v>
      </c>
      <c r="AJ63" s="242">
        <f t="shared" si="35"/>
        <v>0.79</v>
      </c>
      <c r="AK63" s="242">
        <v>0</v>
      </c>
      <c r="AL63" s="242">
        <f t="shared" si="34"/>
        <v>0</v>
      </c>
      <c r="AM63" s="242">
        <f t="shared" si="36"/>
        <v>0.74</v>
      </c>
      <c r="AN63" s="927">
        <f t="shared" si="15"/>
        <v>0.79</v>
      </c>
      <c r="AO63" s="242" t="s">
        <v>621</v>
      </c>
      <c r="AQ63" s="533">
        <v>0.74</v>
      </c>
      <c r="AR63" s="532" t="s">
        <v>621</v>
      </c>
      <c r="AS63" s="533"/>
      <c r="AT63" s="518"/>
      <c r="AU63" s="534"/>
      <c r="AV63" s="531"/>
      <c r="AW63" s="533"/>
      <c r="AX63" s="533"/>
      <c r="AY63" s="518"/>
      <c r="AZ63" s="518"/>
      <c r="BA63" s="518"/>
      <c r="BB63" s="518"/>
      <c r="BC63" s="518"/>
      <c r="BD63" s="518"/>
      <c r="BE63" s="518"/>
      <c r="BF63" s="518"/>
      <c r="BG63" s="518"/>
      <c r="BH63" s="518"/>
      <c r="BI63" s="518"/>
      <c r="BJ63" s="518"/>
      <c r="BK63" s="518"/>
      <c r="BL63" s="518"/>
      <c r="BM63" s="518"/>
      <c r="BN63" s="518"/>
      <c r="BO63" s="518"/>
    </row>
    <row r="64" spans="1:67" s="311" customFormat="1" ht="79.5" customHeight="1" x14ac:dyDescent="0.3">
      <c r="A64" s="153" t="s">
        <v>896</v>
      </c>
      <c r="B64" s="968" t="s">
        <v>880</v>
      </c>
      <c r="C64" s="630" t="s">
        <v>1068</v>
      </c>
      <c r="D64" s="245" t="s">
        <v>823</v>
      </c>
      <c r="E64" s="245">
        <v>2023</v>
      </c>
      <c r="F64" s="245">
        <v>2023</v>
      </c>
      <c r="G64" s="245" t="s">
        <v>621</v>
      </c>
      <c r="H64" s="242">
        <f>'2 (цены с НДС)'!H64/1.2</f>
        <v>0.64</v>
      </c>
      <c r="I64" s="242">
        <f>'2 (цены с НДС)'!S64/1.2</f>
        <v>0.79</v>
      </c>
      <c r="J64" s="242" t="s">
        <v>621</v>
      </c>
      <c r="K64" s="242">
        <v>0.74</v>
      </c>
      <c r="L64" s="242">
        <f>0.16*'17'!E15*'17'!F15*'17'!G15*'17'!H15</f>
        <v>0.2</v>
      </c>
      <c r="M64" s="242">
        <f>0.11*'17'!E15*'17'!F15*'17'!G15*'17'!H15</f>
        <v>0.14000000000000001</v>
      </c>
      <c r="N64" s="242">
        <f>0.33*'17'!E15*'17'!F15*'17'!G15*'17'!H15</f>
        <v>0.41</v>
      </c>
      <c r="O64" s="242">
        <f>0.036*'17'!E15*'17'!F15*'17'!G15*'17'!H15</f>
        <v>0.04</v>
      </c>
      <c r="P64" s="927">
        <f>'2 (цены с НДС)'!S64/1.2</f>
        <v>0.79</v>
      </c>
      <c r="Q64" s="242">
        <f t="shared" si="26"/>
        <v>0.04</v>
      </c>
      <c r="R64" s="242">
        <f t="shared" si="27"/>
        <v>0.26</v>
      </c>
      <c r="S64" s="242">
        <f t="shared" si="28"/>
        <v>0.47</v>
      </c>
      <c r="T64" s="242">
        <f t="shared" si="29"/>
        <v>0.02</v>
      </c>
      <c r="U64" s="242" t="s">
        <v>621</v>
      </c>
      <c r="V64" s="242" t="s">
        <v>621</v>
      </c>
      <c r="W64" s="242" t="s">
        <v>621</v>
      </c>
      <c r="X64" s="242" t="s">
        <v>621</v>
      </c>
      <c r="Y64" s="242" t="s">
        <v>621</v>
      </c>
      <c r="Z64" s="242" t="s">
        <v>621</v>
      </c>
      <c r="AA64" s="242" t="s">
        <v>621</v>
      </c>
      <c r="AB64" s="242" t="s">
        <v>621</v>
      </c>
      <c r="AC64" s="242">
        <v>0</v>
      </c>
      <c r="AD64" s="242">
        <f t="shared" si="30"/>
        <v>0</v>
      </c>
      <c r="AE64" s="242">
        <v>0</v>
      </c>
      <c r="AF64" s="242">
        <f t="shared" si="31"/>
        <v>0</v>
      </c>
      <c r="AG64" s="242">
        <v>0</v>
      </c>
      <c r="AH64" s="242">
        <f t="shared" si="32"/>
        <v>0</v>
      </c>
      <c r="AI64" s="242">
        <v>0.74</v>
      </c>
      <c r="AJ64" s="242">
        <f t="shared" si="35"/>
        <v>0.79</v>
      </c>
      <c r="AK64" s="242">
        <v>0</v>
      </c>
      <c r="AL64" s="242">
        <f t="shared" si="34"/>
        <v>0</v>
      </c>
      <c r="AM64" s="242">
        <f t="shared" si="36"/>
        <v>0.74</v>
      </c>
      <c r="AN64" s="927">
        <f t="shared" si="15"/>
        <v>0.79</v>
      </c>
      <c r="AO64" s="242" t="s">
        <v>621</v>
      </c>
      <c r="AQ64" s="533">
        <v>0.74</v>
      </c>
      <c r="AR64" s="532" t="s">
        <v>621</v>
      </c>
      <c r="AS64" s="533"/>
      <c r="AT64" s="518"/>
      <c r="AU64" s="534"/>
      <c r="AV64" s="531"/>
      <c r="AW64" s="533"/>
      <c r="AX64" s="533"/>
      <c r="AY64" s="518"/>
      <c r="AZ64" s="518"/>
      <c r="BA64" s="518"/>
      <c r="BB64" s="518"/>
      <c r="BC64" s="518"/>
      <c r="BD64" s="518"/>
      <c r="BE64" s="518"/>
      <c r="BF64" s="518"/>
      <c r="BG64" s="518"/>
      <c r="BH64" s="518"/>
      <c r="BI64" s="518"/>
      <c r="BJ64" s="518"/>
      <c r="BK64" s="518"/>
      <c r="BL64" s="518"/>
      <c r="BM64" s="518"/>
      <c r="BN64" s="518"/>
      <c r="BO64" s="518"/>
    </row>
    <row r="65" spans="1:67" s="311" customFormat="1" ht="79.5" customHeight="1" x14ac:dyDescent="0.3">
      <c r="A65" s="153" t="s">
        <v>897</v>
      </c>
      <c r="B65" s="968" t="s">
        <v>881</v>
      </c>
      <c r="C65" s="630" t="s">
        <v>1069</v>
      </c>
      <c r="D65" s="245" t="s">
        <v>823</v>
      </c>
      <c r="E65" s="245">
        <v>2023</v>
      </c>
      <c r="F65" s="245">
        <v>2023</v>
      </c>
      <c r="G65" s="245" t="s">
        <v>621</v>
      </c>
      <c r="H65" s="242">
        <f>'2 (цены с НДС)'!H65/1.2</f>
        <v>0.93</v>
      </c>
      <c r="I65" s="242">
        <f>'2 (цены с НДС)'!S65/1.2</f>
        <v>1.1399999999999999</v>
      </c>
      <c r="J65" s="242" t="s">
        <v>621</v>
      </c>
      <c r="K65" s="242">
        <v>1.07</v>
      </c>
      <c r="L65" s="242">
        <f>0.16*'17'!E15*'17'!F15*'17'!G15*'17'!H15</f>
        <v>0.2</v>
      </c>
      <c r="M65" s="242">
        <f>0.21*'17'!E15*'17'!F15*'17'!G15*'17'!H15</f>
        <v>0.26</v>
      </c>
      <c r="N65" s="242">
        <f>0.5*'17'!E15*'17'!F15*'17'!G15*'17'!H15</f>
        <v>0.62</v>
      </c>
      <c r="O65" s="242">
        <f>0.053*'17'!E15*'17'!F15*'17'!G15*'17'!H15</f>
        <v>7.0000000000000007E-2</v>
      </c>
      <c r="P65" s="927">
        <f>'2 (цены с НДС)'!S65/1.2</f>
        <v>1.1399999999999999</v>
      </c>
      <c r="Q65" s="242">
        <f t="shared" si="26"/>
        <v>0.06</v>
      </c>
      <c r="R65" s="242">
        <f t="shared" si="27"/>
        <v>0.37</v>
      </c>
      <c r="S65" s="242">
        <f t="shared" si="28"/>
        <v>0.69</v>
      </c>
      <c r="T65" s="242">
        <f t="shared" si="29"/>
        <v>0.02</v>
      </c>
      <c r="U65" s="242" t="s">
        <v>621</v>
      </c>
      <c r="V65" s="242" t="s">
        <v>621</v>
      </c>
      <c r="W65" s="242" t="s">
        <v>621</v>
      </c>
      <c r="X65" s="242" t="s">
        <v>621</v>
      </c>
      <c r="Y65" s="242" t="s">
        <v>621</v>
      </c>
      <c r="Z65" s="242" t="s">
        <v>621</v>
      </c>
      <c r="AA65" s="242" t="s">
        <v>621</v>
      </c>
      <c r="AB65" s="242" t="s">
        <v>621</v>
      </c>
      <c r="AC65" s="242">
        <v>0</v>
      </c>
      <c r="AD65" s="242">
        <f t="shared" si="30"/>
        <v>0</v>
      </c>
      <c r="AE65" s="242">
        <v>0</v>
      </c>
      <c r="AF65" s="242">
        <f t="shared" si="31"/>
        <v>0</v>
      </c>
      <c r="AG65" s="242">
        <v>0</v>
      </c>
      <c r="AH65" s="242">
        <f t="shared" si="32"/>
        <v>0</v>
      </c>
      <c r="AI65" s="242">
        <v>1.07</v>
      </c>
      <c r="AJ65" s="242">
        <f t="shared" si="35"/>
        <v>1.1399999999999999</v>
      </c>
      <c r="AK65" s="242">
        <v>0</v>
      </c>
      <c r="AL65" s="242">
        <f t="shared" si="34"/>
        <v>0</v>
      </c>
      <c r="AM65" s="242">
        <f t="shared" si="36"/>
        <v>1.07</v>
      </c>
      <c r="AN65" s="927">
        <f t="shared" si="15"/>
        <v>1.1399999999999999</v>
      </c>
      <c r="AO65" s="242" t="s">
        <v>621</v>
      </c>
      <c r="AQ65" s="533">
        <v>1.07</v>
      </c>
      <c r="AR65" s="532" t="s">
        <v>621</v>
      </c>
      <c r="AS65" s="533"/>
      <c r="AT65" s="518"/>
      <c r="AU65" s="534"/>
      <c r="AV65" s="531"/>
      <c r="AW65" s="533"/>
      <c r="AX65" s="533"/>
      <c r="AY65" s="518"/>
      <c r="AZ65" s="518"/>
      <c r="BA65" s="518"/>
      <c r="BB65" s="518"/>
      <c r="BC65" s="518"/>
      <c r="BD65" s="518"/>
      <c r="BE65" s="518"/>
      <c r="BF65" s="518"/>
      <c r="BG65" s="518"/>
      <c r="BH65" s="518"/>
      <c r="BI65" s="518"/>
      <c r="BJ65" s="518"/>
      <c r="BK65" s="518"/>
      <c r="BL65" s="518"/>
      <c r="BM65" s="518"/>
      <c r="BN65" s="518"/>
      <c r="BO65" s="518"/>
    </row>
    <row r="66" spans="1:67" s="311" customFormat="1" ht="79.5" customHeight="1" x14ac:dyDescent="0.3">
      <c r="A66" s="153" t="s">
        <v>898</v>
      </c>
      <c r="B66" s="968" t="s">
        <v>882</v>
      </c>
      <c r="C66" s="630" t="s">
        <v>1070</v>
      </c>
      <c r="D66" s="245" t="s">
        <v>823</v>
      </c>
      <c r="E66" s="245">
        <v>2023</v>
      </c>
      <c r="F66" s="245">
        <v>2023</v>
      </c>
      <c r="G66" s="245" t="s">
        <v>621</v>
      </c>
      <c r="H66" s="242">
        <f>'2 (цены с НДС)'!H66/1.2</f>
        <v>1.0900000000000001</v>
      </c>
      <c r="I66" s="242">
        <f>'2 (цены с НДС)'!S66/1.2</f>
        <v>1.35</v>
      </c>
      <c r="J66" s="242" t="s">
        <v>621</v>
      </c>
      <c r="K66" s="242">
        <v>1.26</v>
      </c>
      <c r="L66" s="242">
        <f>0.16*'17'!E15*'17'!F15*'17'!G15*'17'!H15</f>
        <v>0.2</v>
      </c>
      <c r="M66" s="242">
        <f>0.21*'17'!E15*'17'!F15*'17'!G15*'17'!H15</f>
        <v>0.26</v>
      </c>
      <c r="N66" s="242">
        <f>0.67*'17'!E15*'17'!F15*'17'!G15*'17'!H15</f>
        <v>0.83</v>
      </c>
      <c r="O66" s="242">
        <f>0.053*'17'!E15*'17'!F15*'17'!G15*'17'!H15</f>
        <v>7.0000000000000007E-2</v>
      </c>
      <c r="P66" s="927">
        <f>'2 (цены с НДС)'!S66/1.2</f>
        <v>1.35</v>
      </c>
      <c r="Q66" s="242">
        <f t="shared" si="26"/>
        <v>7.0000000000000007E-2</v>
      </c>
      <c r="R66" s="242">
        <f t="shared" si="27"/>
        <v>0.44</v>
      </c>
      <c r="S66" s="242">
        <f t="shared" si="28"/>
        <v>0.81</v>
      </c>
      <c r="T66" s="242">
        <f t="shared" si="29"/>
        <v>0.03</v>
      </c>
      <c r="U66" s="242" t="s">
        <v>621</v>
      </c>
      <c r="V66" s="242" t="s">
        <v>621</v>
      </c>
      <c r="W66" s="242" t="s">
        <v>621</v>
      </c>
      <c r="X66" s="242" t="s">
        <v>621</v>
      </c>
      <c r="Y66" s="242" t="s">
        <v>621</v>
      </c>
      <c r="Z66" s="242" t="s">
        <v>621</v>
      </c>
      <c r="AA66" s="242" t="s">
        <v>621</v>
      </c>
      <c r="AB66" s="242" t="s">
        <v>621</v>
      </c>
      <c r="AC66" s="242">
        <v>0</v>
      </c>
      <c r="AD66" s="242">
        <f t="shared" si="30"/>
        <v>0</v>
      </c>
      <c r="AE66" s="242">
        <v>0</v>
      </c>
      <c r="AF66" s="242">
        <f t="shared" si="31"/>
        <v>0</v>
      </c>
      <c r="AG66" s="242">
        <v>0</v>
      </c>
      <c r="AH66" s="242">
        <f t="shared" si="32"/>
        <v>0</v>
      </c>
      <c r="AI66" s="242">
        <v>1.26</v>
      </c>
      <c r="AJ66" s="242">
        <f t="shared" si="35"/>
        <v>1.35</v>
      </c>
      <c r="AK66" s="242">
        <v>0</v>
      </c>
      <c r="AL66" s="242">
        <f t="shared" si="34"/>
        <v>0</v>
      </c>
      <c r="AM66" s="242">
        <f t="shared" si="36"/>
        <v>1.26</v>
      </c>
      <c r="AN66" s="927">
        <f t="shared" si="15"/>
        <v>1.35</v>
      </c>
      <c r="AO66" s="242" t="s">
        <v>621</v>
      </c>
      <c r="AQ66" s="533">
        <v>1.26</v>
      </c>
      <c r="AR66" s="532" t="s">
        <v>621</v>
      </c>
      <c r="AS66" s="533"/>
      <c r="AT66" s="518"/>
      <c r="AU66" s="534"/>
      <c r="AV66" s="531"/>
      <c r="AW66" s="533"/>
      <c r="AX66" s="533"/>
      <c r="AY66" s="518"/>
      <c r="AZ66" s="518"/>
      <c r="BA66" s="518"/>
      <c r="BB66" s="518"/>
      <c r="BC66" s="518"/>
      <c r="BD66" s="518"/>
      <c r="BE66" s="518"/>
      <c r="BF66" s="518"/>
      <c r="BG66" s="518"/>
      <c r="BH66" s="518"/>
      <c r="BI66" s="518"/>
      <c r="BJ66" s="518"/>
      <c r="BK66" s="518"/>
      <c r="BL66" s="518"/>
      <c r="BM66" s="518"/>
      <c r="BN66" s="518"/>
      <c r="BO66" s="518"/>
    </row>
    <row r="67" spans="1:67" s="311" customFormat="1" ht="79.5" customHeight="1" x14ac:dyDescent="0.3">
      <c r="A67" s="153" t="s">
        <v>899</v>
      </c>
      <c r="B67" s="968" t="s">
        <v>883</v>
      </c>
      <c r="C67" s="630" t="s">
        <v>1071</v>
      </c>
      <c r="D67" s="245" t="s">
        <v>823</v>
      </c>
      <c r="E67" s="245">
        <v>2023</v>
      </c>
      <c r="F67" s="245">
        <v>2023</v>
      </c>
      <c r="G67" s="245" t="s">
        <v>621</v>
      </c>
      <c r="H67" s="242">
        <f>'2 (цены с НДС)'!H67/1.2</f>
        <v>1.0900000000000001</v>
      </c>
      <c r="I67" s="242">
        <f>'2 (цены с НДС)'!S67/1.2</f>
        <v>1.35</v>
      </c>
      <c r="J67" s="242" t="s">
        <v>621</v>
      </c>
      <c r="K67" s="242">
        <v>1.26</v>
      </c>
      <c r="L67" s="242">
        <f>0.16*'17'!E15*'17'!F15*'17'!G15*'17'!H15</f>
        <v>0.2</v>
      </c>
      <c r="M67" s="242">
        <f>0.21*'17'!E15*'17'!F15*'17'!G15*'17'!H15</f>
        <v>0.26</v>
      </c>
      <c r="N67" s="242">
        <f>0.67*'17'!E15*'17'!F15*'17'!G15*'17'!H15</f>
        <v>0.83</v>
      </c>
      <c r="O67" s="242">
        <f>0.053*'17'!E15*'17'!F15*'17'!G15*'17'!H15</f>
        <v>7.0000000000000007E-2</v>
      </c>
      <c r="P67" s="927">
        <f>'2 (цены с НДС)'!S67/1.2</f>
        <v>1.35</v>
      </c>
      <c r="Q67" s="242">
        <f t="shared" si="26"/>
        <v>7.0000000000000007E-2</v>
      </c>
      <c r="R67" s="242">
        <f t="shared" si="27"/>
        <v>0.44</v>
      </c>
      <c r="S67" s="242">
        <f t="shared" si="28"/>
        <v>0.81</v>
      </c>
      <c r="T67" s="242">
        <f t="shared" si="29"/>
        <v>0.03</v>
      </c>
      <c r="U67" s="242" t="s">
        <v>621</v>
      </c>
      <c r="V67" s="242" t="s">
        <v>621</v>
      </c>
      <c r="W67" s="242" t="s">
        <v>621</v>
      </c>
      <c r="X67" s="242" t="s">
        <v>621</v>
      </c>
      <c r="Y67" s="242" t="s">
        <v>621</v>
      </c>
      <c r="Z67" s="242" t="s">
        <v>621</v>
      </c>
      <c r="AA67" s="242" t="s">
        <v>621</v>
      </c>
      <c r="AB67" s="242" t="s">
        <v>621</v>
      </c>
      <c r="AC67" s="242">
        <v>0</v>
      </c>
      <c r="AD67" s="242">
        <f t="shared" si="30"/>
        <v>0</v>
      </c>
      <c r="AE67" s="242">
        <v>0</v>
      </c>
      <c r="AF67" s="242">
        <f t="shared" si="31"/>
        <v>0</v>
      </c>
      <c r="AG67" s="242">
        <v>0</v>
      </c>
      <c r="AH67" s="242">
        <f t="shared" si="32"/>
        <v>0</v>
      </c>
      <c r="AI67" s="242">
        <v>1.26</v>
      </c>
      <c r="AJ67" s="242">
        <f t="shared" si="35"/>
        <v>1.35</v>
      </c>
      <c r="AK67" s="242">
        <v>0</v>
      </c>
      <c r="AL67" s="242">
        <f t="shared" si="34"/>
        <v>0</v>
      </c>
      <c r="AM67" s="242">
        <f t="shared" si="36"/>
        <v>1.26</v>
      </c>
      <c r="AN67" s="927">
        <f t="shared" si="15"/>
        <v>1.35</v>
      </c>
      <c r="AO67" s="242" t="s">
        <v>621</v>
      </c>
      <c r="AQ67" s="533">
        <v>1.26</v>
      </c>
      <c r="AR67" s="532" t="s">
        <v>621</v>
      </c>
      <c r="AS67" s="533"/>
      <c r="AT67" s="518"/>
      <c r="AU67" s="534"/>
      <c r="AV67" s="531"/>
      <c r="AW67" s="533"/>
      <c r="AX67" s="533"/>
      <c r="AY67" s="518"/>
      <c r="AZ67" s="518"/>
      <c r="BA67" s="518"/>
      <c r="BB67" s="518"/>
      <c r="BC67" s="518"/>
      <c r="BD67" s="518"/>
      <c r="BE67" s="518"/>
      <c r="BF67" s="518"/>
      <c r="BG67" s="518"/>
      <c r="BH67" s="518"/>
      <c r="BI67" s="518"/>
      <c r="BJ67" s="518"/>
      <c r="BK67" s="518"/>
      <c r="BL67" s="518"/>
      <c r="BM67" s="518"/>
      <c r="BN67" s="518"/>
      <c r="BO67" s="518"/>
    </row>
    <row r="68" spans="1:67" s="311" customFormat="1" ht="79.5" customHeight="1" x14ac:dyDescent="0.3">
      <c r="A68" s="153" t="s">
        <v>900</v>
      </c>
      <c r="B68" s="968" t="s">
        <v>902</v>
      </c>
      <c r="C68" s="630" t="s">
        <v>1072</v>
      </c>
      <c r="D68" s="245" t="s">
        <v>823</v>
      </c>
      <c r="E68" s="245">
        <v>2024</v>
      </c>
      <c r="F68" s="245">
        <v>2024</v>
      </c>
      <c r="G68" s="245" t="s">
        <v>621</v>
      </c>
      <c r="H68" s="242">
        <f>'2 (цены с НДС)'!H68/1.2</f>
        <v>18.18</v>
      </c>
      <c r="I68" s="242">
        <f>'2 (цены с НДС)'!S68/1.2</f>
        <v>23.67</v>
      </c>
      <c r="J68" s="242" t="s">
        <v>621</v>
      </c>
      <c r="K68" s="242">
        <v>21.82</v>
      </c>
      <c r="L68" s="242">
        <f>0.72*'17'!E15*'17'!F15*'17'!G15*'17'!H15*'17'!I15</f>
        <v>0.94</v>
      </c>
      <c r="M68" s="242">
        <f>5.46*'17'!E15*'17'!F15*'17'!G15*'17'!H15*'17'!I15</f>
        <v>7.11</v>
      </c>
      <c r="N68" s="242">
        <f>8.4*'17'!E15*'17'!F15*'17'!G15*'17'!H15*'17'!I15</f>
        <v>10.94</v>
      </c>
      <c r="O68" s="242">
        <f>3.59*'17'!E15*'17'!F15*'17'!G15*'17'!H15*'17'!I15+0.02</f>
        <v>4.6900000000000004</v>
      </c>
      <c r="P68" s="927">
        <f>'2 (цены с НДС)'!S68/1.2</f>
        <v>23.67</v>
      </c>
      <c r="Q68" s="242">
        <f t="shared" si="26"/>
        <v>1.18</v>
      </c>
      <c r="R68" s="242">
        <f t="shared" si="27"/>
        <v>7.71</v>
      </c>
      <c r="S68" s="242">
        <f t="shared" si="28"/>
        <v>14.31</v>
      </c>
      <c r="T68" s="242">
        <f t="shared" si="29"/>
        <v>0.47</v>
      </c>
      <c r="U68" s="242" t="s">
        <v>621</v>
      </c>
      <c r="V68" s="242" t="s">
        <v>621</v>
      </c>
      <c r="W68" s="242" t="s">
        <v>621</v>
      </c>
      <c r="X68" s="242" t="s">
        <v>621</v>
      </c>
      <c r="Y68" s="242" t="s">
        <v>621</v>
      </c>
      <c r="Z68" s="242" t="s">
        <v>621</v>
      </c>
      <c r="AA68" s="242" t="s">
        <v>621</v>
      </c>
      <c r="AB68" s="242" t="s">
        <v>621</v>
      </c>
      <c r="AC68" s="242">
        <v>0</v>
      </c>
      <c r="AD68" s="242">
        <f t="shared" si="30"/>
        <v>0</v>
      </c>
      <c r="AE68" s="242">
        <v>0</v>
      </c>
      <c r="AF68" s="242">
        <f t="shared" si="31"/>
        <v>0</v>
      </c>
      <c r="AG68" s="242">
        <v>0</v>
      </c>
      <c r="AH68" s="242">
        <f t="shared" si="32"/>
        <v>0</v>
      </c>
      <c r="AI68" s="242">
        <v>0</v>
      </c>
      <c r="AJ68" s="242">
        <f t="shared" si="33"/>
        <v>0</v>
      </c>
      <c r="AK68" s="242">
        <v>21.82</v>
      </c>
      <c r="AL68" s="242">
        <f>AN68</f>
        <v>23.67</v>
      </c>
      <c r="AM68" s="242">
        <f>AK68</f>
        <v>21.82</v>
      </c>
      <c r="AN68" s="927">
        <f t="shared" si="15"/>
        <v>23.67</v>
      </c>
      <c r="AO68" s="242" t="s">
        <v>621</v>
      </c>
      <c r="AQ68" s="533">
        <v>21.82</v>
      </c>
      <c r="AR68" s="532" t="s">
        <v>621</v>
      </c>
      <c r="AS68" s="533"/>
      <c r="AT68" s="518"/>
      <c r="AU68" s="534"/>
      <c r="AV68" s="531"/>
      <c r="AW68" s="533"/>
      <c r="AX68" s="533"/>
      <c r="AY68" s="518"/>
      <c r="AZ68" s="518"/>
      <c r="BA68" s="518"/>
      <c r="BB68" s="518"/>
      <c r="BC68" s="518"/>
      <c r="BD68" s="518"/>
      <c r="BE68" s="518"/>
      <c r="BF68" s="518"/>
      <c r="BG68" s="518"/>
      <c r="BH68" s="518"/>
      <c r="BI68" s="518"/>
      <c r="BJ68" s="518"/>
      <c r="BK68" s="518"/>
      <c r="BL68" s="518"/>
      <c r="BM68" s="518"/>
      <c r="BN68" s="518"/>
      <c r="BO68" s="518"/>
    </row>
    <row r="69" spans="1:67" s="311" customFormat="1" ht="79.5" customHeight="1" x14ac:dyDescent="0.3">
      <c r="A69" s="153" t="s">
        <v>919</v>
      </c>
      <c r="B69" s="968" t="s">
        <v>917</v>
      </c>
      <c r="C69" s="630" t="s">
        <v>1073</v>
      </c>
      <c r="D69" s="245" t="s">
        <v>823</v>
      </c>
      <c r="E69" s="245">
        <v>2024</v>
      </c>
      <c r="F69" s="245">
        <v>2024</v>
      </c>
      <c r="G69" s="245" t="s">
        <v>621</v>
      </c>
      <c r="H69" s="242">
        <f>K69</f>
        <v>15.51</v>
      </c>
      <c r="I69" s="242">
        <f>'2 (цены с НДС)'!S69/1.2</f>
        <v>16.82</v>
      </c>
      <c r="J69" s="242" t="s">
        <v>621</v>
      </c>
      <c r="K69" s="242">
        <v>15.51</v>
      </c>
      <c r="L69" s="242">
        <f>0.43*'17'!E15*'17'!F15*'17'!G15*'17'!H15*'17'!I15</f>
        <v>0.56000000000000005</v>
      </c>
      <c r="M69" s="242">
        <f>5.13*'17'!E15*'17'!F15*'17'!G15*'17'!H15*'17'!I15</f>
        <v>6.68</v>
      </c>
      <c r="N69" s="242">
        <f>4.78*'17'!E15*'17'!F15*'17'!G15*'17'!H15*'17'!I15</f>
        <v>6.22</v>
      </c>
      <c r="O69" s="242">
        <f>2.6*'17'!E15*'17'!F15*'17'!G15*'17'!H15*'17'!I15-0.03</f>
        <v>3.36</v>
      </c>
      <c r="P69" s="927">
        <f>'2 (цены с НДС)'!S69/1.2</f>
        <v>16.82</v>
      </c>
      <c r="Q69" s="242">
        <f t="shared" si="26"/>
        <v>0.84</v>
      </c>
      <c r="R69" s="242">
        <f t="shared" si="27"/>
        <v>5.47</v>
      </c>
      <c r="S69" s="242">
        <f t="shared" si="28"/>
        <v>10.17</v>
      </c>
      <c r="T69" s="242">
        <f t="shared" si="29"/>
        <v>0.34</v>
      </c>
      <c r="U69" s="242" t="s">
        <v>621</v>
      </c>
      <c r="V69" s="242" t="s">
        <v>621</v>
      </c>
      <c r="W69" s="242" t="s">
        <v>621</v>
      </c>
      <c r="X69" s="242" t="s">
        <v>621</v>
      </c>
      <c r="Y69" s="242" t="s">
        <v>621</v>
      </c>
      <c r="Z69" s="242" t="s">
        <v>621</v>
      </c>
      <c r="AA69" s="242" t="s">
        <v>621</v>
      </c>
      <c r="AB69" s="242" t="s">
        <v>621</v>
      </c>
      <c r="AC69" s="242">
        <v>0</v>
      </c>
      <c r="AD69" s="242">
        <f t="shared" si="30"/>
        <v>0</v>
      </c>
      <c r="AE69" s="242">
        <v>0</v>
      </c>
      <c r="AF69" s="242">
        <f t="shared" si="31"/>
        <v>0</v>
      </c>
      <c r="AG69" s="242">
        <v>0</v>
      </c>
      <c r="AH69" s="242">
        <f t="shared" si="32"/>
        <v>0</v>
      </c>
      <c r="AI69" s="242">
        <v>0</v>
      </c>
      <c r="AJ69" s="242">
        <f t="shared" si="33"/>
        <v>0</v>
      </c>
      <c r="AK69" s="242">
        <v>15.51</v>
      </c>
      <c r="AL69" s="242">
        <f>AN69</f>
        <v>16.82</v>
      </c>
      <c r="AM69" s="242">
        <f>AK69</f>
        <v>15.51</v>
      </c>
      <c r="AN69" s="927">
        <f t="shared" si="15"/>
        <v>16.82</v>
      </c>
      <c r="AO69" s="242" t="s">
        <v>621</v>
      </c>
      <c r="AQ69" s="533">
        <v>15.51</v>
      </c>
      <c r="AR69" s="532" t="s">
        <v>621</v>
      </c>
      <c r="AS69" s="533"/>
      <c r="AT69" s="518"/>
      <c r="AU69" s="534"/>
      <c r="AV69" s="531"/>
      <c r="AW69" s="533"/>
      <c r="AX69" s="533"/>
      <c r="AY69" s="518"/>
      <c r="AZ69" s="518"/>
      <c r="BA69" s="518"/>
      <c r="BB69" s="518"/>
      <c r="BC69" s="518"/>
      <c r="BD69" s="518"/>
      <c r="BE69" s="518"/>
      <c r="BF69" s="518"/>
      <c r="BG69" s="518"/>
      <c r="BH69" s="518"/>
      <c r="BI69" s="518"/>
      <c r="BJ69" s="518"/>
      <c r="BK69" s="518"/>
      <c r="BL69" s="518"/>
      <c r="BM69" s="518"/>
      <c r="BN69" s="518"/>
      <c r="BO69" s="518"/>
    </row>
    <row r="70" spans="1:67" s="580" customFormat="1" ht="87" customHeight="1" x14ac:dyDescent="0.4">
      <c r="A70" s="153" t="s">
        <v>920</v>
      </c>
      <c r="B70" s="973" t="s">
        <v>1717</v>
      </c>
      <c r="C70" s="630" t="s">
        <v>1735</v>
      </c>
      <c r="D70" s="241" t="s">
        <v>823</v>
      </c>
      <c r="E70" s="241">
        <v>2022</v>
      </c>
      <c r="F70" s="241" t="s">
        <v>621</v>
      </c>
      <c r="G70" s="241">
        <v>2022</v>
      </c>
      <c r="H70" s="242" t="s">
        <v>621</v>
      </c>
      <c r="I70" s="242">
        <f>'2 (цены с НДС)'!S72/1.2</f>
        <v>10.82</v>
      </c>
      <c r="J70" s="959" t="s">
        <v>621</v>
      </c>
      <c r="K70" s="560">
        <v>0</v>
      </c>
      <c r="L70" s="560">
        <v>0</v>
      </c>
      <c r="M70" s="560">
        <v>0</v>
      </c>
      <c r="N70" s="560">
        <v>0</v>
      </c>
      <c r="O70" s="560">
        <v>0</v>
      </c>
      <c r="P70" s="927">
        <v>10.82</v>
      </c>
      <c r="Q70" s="242">
        <f t="shared" si="26"/>
        <v>0.54</v>
      </c>
      <c r="R70" s="242">
        <f t="shared" si="27"/>
        <v>3.52</v>
      </c>
      <c r="S70" s="242">
        <f t="shared" si="28"/>
        <v>6.54</v>
      </c>
      <c r="T70" s="242">
        <f t="shared" si="29"/>
        <v>0.22</v>
      </c>
      <c r="U70" s="242" t="s">
        <v>621</v>
      </c>
      <c r="V70" s="242" t="s">
        <v>621</v>
      </c>
      <c r="W70" s="242" t="s">
        <v>621</v>
      </c>
      <c r="X70" s="242" t="s">
        <v>621</v>
      </c>
      <c r="Y70" s="242" t="s">
        <v>621</v>
      </c>
      <c r="Z70" s="242" t="s">
        <v>621</v>
      </c>
      <c r="AA70" s="242" t="s">
        <v>621</v>
      </c>
      <c r="AB70" s="242" t="s">
        <v>621</v>
      </c>
      <c r="AC70" s="242" t="s">
        <v>621</v>
      </c>
      <c r="AD70" s="242" t="s">
        <v>621</v>
      </c>
      <c r="AE70" s="560">
        <v>0</v>
      </c>
      <c r="AF70" s="242">
        <v>0</v>
      </c>
      <c r="AG70" s="242">
        <v>0</v>
      </c>
      <c r="AH70" s="242">
        <f>P70</f>
        <v>10.82</v>
      </c>
      <c r="AI70" s="242">
        <v>0</v>
      </c>
      <c r="AJ70" s="242">
        <v>0</v>
      </c>
      <c r="AK70" s="242">
        <v>0</v>
      </c>
      <c r="AL70" s="242">
        <v>0</v>
      </c>
      <c r="AM70" s="242">
        <v>0</v>
      </c>
      <c r="AN70" s="927">
        <f t="shared" si="15"/>
        <v>10.82</v>
      </c>
      <c r="AO70" s="242" t="s">
        <v>621</v>
      </c>
      <c r="AQ70" s="581"/>
      <c r="AR70" s="582"/>
      <c r="AS70" s="581"/>
      <c r="AT70" s="581"/>
      <c r="AU70" s="581"/>
      <c r="AV70" s="581"/>
      <c r="AW70" s="581"/>
      <c r="AX70" s="581"/>
      <c r="AY70" s="581"/>
      <c r="AZ70" s="581"/>
      <c r="BA70" s="581"/>
      <c r="BB70" s="581"/>
      <c r="BC70" s="581"/>
      <c r="BD70" s="581"/>
      <c r="BE70" s="581"/>
      <c r="BF70" s="581"/>
      <c r="BG70" s="581"/>
      <c r="BH70" s="581"/>
      <c r="BI70" s="581"/>
      <c r="BJ70" s="581"/>
      <c r="BK70" s="581"/>
      <c r="BL70" s="581"/>
      <c r="BM70" s="581"/>
      <c r="BN70" s="581"/>
      <c r="BO70" s="581"/>
    </row>
    <row r="71" spans="1:67" s="580" customFormat="1" ht="70.5" customHeight="1" x14ac:dyDescent="0.4">
      <c r="A71" s="153" t="s">
        <v>921</v>
      </c>
      <c r="B71" s="973" t="s">
        <v>1718</v>
      </c>
      <c r="C71" s="630" t="s">
        <v>1731</v>
      </c>
      <c r="D71" s="241" t="s">
        <v>823</v>
      </c>
      <c r="E71" s="241">
        <v>2022</v>
      </c>
      <c r="F71" s="241" t="s">
        <v>621</v>
      </c>
      <c r="G71" s="241">
        <v>2022</v>
      </c>
      <c r="H71" s="242" t="s">
        <v>621</v>
      </c>
      <c r="I71" s="242">
        <f>'2 (цены с НДС)'!S73/1.2</f>
        <v>2.83</v>
      </c>
      <c r="J71" s="959" t="s">
        <v>621</v>
      </c>
      <c r="K71" s="560">
        <v>0</v>
      </c>
      <c r="L71" s="560">
        <v>0</v>
      </c>
      <c r="M71" s="560">
        <v>0</v>
      </c>
      <c r="N71" s="560">
        <v>0</v>
      </c>
      <c r="O71" s="560">
        <v>0</v>
      </c>
      <c r="P71" s="927">
        <v>2.83</v>
      </c>
      <c r="Q71" s="242">
        <f>I71*5%</f>
        <v>0.14000000000000001</v>
      </c>
      <c r="R71" s="242">
        <f>(P71-Q71-T71)*35%</f>
        <v>0.92</v>
      </c>
      <c r="S71" s="242">
        <f>P71-Q71-R71-T71</f>
        <v>1.71</v>
      </c>
      <c r="T71" s="242">
        <f>I71*2%</f>
        <v>0.06</v>
      </c>
      <c r="U71" s="242" t="s">
        <v>621</v>
      </c>
      <c r="V71" s="242" t="s">
        <v>621</v>
      </c>
      <c r="W71" s="242" t="s">
        <v>621</v>
      </c>
      <c r="X71" s="242" t="s">
        <v>621</v>
      </c>
      <c r="Y71" s="242" t="s">
        <v>621</v>
      </c>
      <c r="Z71" s="242" t="s">
        <v>621</v>
      </c>
      <c r="AA71" s="242" t="s">
        <v>621</v>
      </c>
      <c r="AB71" s="242" t="s">
        <v>621</v>
      </c>
      <c r="AC71" s="242" t="s">
        <v>621</v>
      </c>
      <c r="AD71" s="242" t="s">
        <v>621</v>
      </c>
      <c r="AE71" s="560">
        <v>0</v>
      </c>
      <c r="AF71" s="242">
        <v>0</v>
      </c>
      <c r="AG71" s="242">
        <v>0</v>
      </c>
      <c r="AH71" s="242">
        <f>P71</f>
        <v>2.83</v>
      </c>
      <c r="AI71" s="242">
        <v>0</v>
      </c>
      <c r="AJ71" s="242">
        <v>0</v>
      </c>
      <c r="AK71" s="242">
        <v>0</v>
      </c>
      <c r="AL71" s="242">
        <v>0</v>
      </c>
      <c r="AM71" s="242">
        <v>0</v>
      </c>
      <c r="AN71" s="927">
        <f t="shared" si="15"/>
        <v>2.83</v>
      </c>
      <c r="AO71" s="242" t="s">
        <v>621</v>
      </c>
      <c r="AQ71" s="581"/>
      <c r="AR71" s="582"/>
      <c r="AS71" s="581"/>
      <c r="AT71" s="581"/>
      <c r="AU71" s="581"/>
      <c r="AV71" s="581"/>
      <c r="AW71" s="581"/>
      <c r="AX71" s="581"/>
      <c r="AY71" s="581"/>
      <c r="AZ71" s="581"/>
      <c r="BA71" s="581"/>
      <c r="BB71" s="581"/>
      <c r="BC71" s="581"/>
      <c r="BD71" s="581"/>
      <c r="BE71" s="581"/>
      <c r="BF71" s="581"/>
      <c r="BG71" s="581"/>
      <c r="BH71" s="581"/>
      <c r="BI71" s="581"/>
      <c r="BJ71" s="581"/>
      <c r="BK71" s="581"/>
      <c r="BL71" s="581"/>
      <c r="BM71" s="581"/>
      <c r="BN71" s="581"/>
      <c r="BO71" s="581"/>
    </row>
    <row r="72" spans="1:67" s="132" customFormat="1" ht="90" x14ac:dyDescent="0.3">
      <c r="A72" s="1057" t="s">
        <v>741</v>
      </c>
      <c r="B72" s="1058" t="s">
        <v>1653</v>
      </c>
      <c r="C72" s="1059" t="s">
        <v>621</v>
      </c>
      <c r="D72" s="1060" t="s">
        <v>823</v>
      </c>
      <c r="E72" s="1060">
        <v>2021</v>
      </c>
      <c r="F72" s="1060" t="s">
        <v>621</v>
      </c>
      <c r="G72" s="1060">
        <v>2021</v>
      </c>
      <c r="H72" s="1060">
        <v>13.66</v>
      </c>
      <c r="I72" s="1061">
        <f>'2 (цены с НДС)'!S74/1.2</f>
        <v>13.66</v>
      </c>
      <c r="J72" s="1060" t="s">
        <v>621</v>
      </c>
      <c r="K72" s="1062">
        <v>13.66</v>
      </c>
      <c r="L72" s="1062">
        <v>0</v>
      </c>
      <c r="M72" s="1062">
        <v>0</v>
      </c>
      <c r="N72" s="1062">
        <v>0</v>
      </c>
      <c r="O72" s="1062">
        <v>13.66</v>
      </c>
      <c r="P72" s="1063">
        <v>13.66</v>
      </c>
      <c r="Q72" s="1062">
        <v>0</v>
      </c>
      <c r="R72" s="1062">
        <v>0</v>
      </c>
      <c r="S72" s="1062">
        <v>0</v>
      </c>
      <c r="T72" s="1060">
        <v>13.66</v>
      </c>
      <c r="U72" s="1061" t="s">
        <v>621</v>
      </c>
      <c r="V72" s="1061" t="s">
        <v>621</v>
      </c>
      <c r="W72" s="1061" t="s">
        <v>621</v>
      </c>
      <c r="X72" s="1061" t="s">
        <v>621</v>
      </c>
      <c r="Y72" s="1061" t="s">
        <v>621</v>
      </c>
      <c r="Z72" s="1061" t="s">
        <v>621</v>
      </c>
      <c r="AA72" s="1061" t="s">
        <v>621</v>
      </c>
      <c r="AB72" s="1061" t="s">
        <v>621</v>
      </c>
      <c r="AC72" s="1061">
        <v>0</v>
      </c>
      <c r="AD72" s="1061">
        <f>AC72</f>
        <v>0</v>
      </c>
      <c r="AE72" s="1062">
        <f>AE73</f>
        <v>13.66</v>
      </c>
      <c r="AF72" s="1062">
        <f>AF73</f>
        <v>13.66</v>
      </c>
      <c r="AG72" s="1064">
        <v>0</v>
      </c>
      <c r="AH72" s="1064">
        <v>0</v>
      </c>
      <c r="AI72" s="1064">
        <v>0</v>
      </c>
      <c r="AJ72" s="1064">
        <v>0</v>
      </c>
      <c r="AK72" s="1064">
        <v>0</v>
      </c>
      <c r="AL72" s="1064">
        <v>0</v>
      </c>
      <c r="AM72" s="1062">
        <v>13.66</v>
      </c>
      <c r="AN72" s="1063">
        <f t="shared" si="15"/>
        <v>13.66</v>
      </c>
      <c r="AO72" s="1060" t="s">
        <v>621</v>
      </c>
      <c r="AQ72" s="518"/>
      <c r="AR72" s="519"/>
      <c r="AS72" s="518"/>
      <c r="AT72" s="518"/>
      <c r="AU72" s="518"/>
      <c r="AV72" s="518"/>
      <c r="AW72" s="518"/>
      <c r="AX72" s="518"/>
      <c r="AY72" s="518"/>
      <c r="AZ72" s="518"/>
      <c r="BA72" s="518"/>
      <c r="BB72" s="518"/>
      <c r="BC72" s="518"/>
      <c r="BD72" s="518"/>
      <c r="BE72" s="518"/>
      <c r="BF72" s="518"/>
      <c r="BG72" s="518"/>
      <c r="BH72" s="518"/>
      <c r="BI72" s="518"/>
      <c r="BJ72" s="518"/>
      <c r="BK72" s="518"/>
      <c r="BL72" s="518"/>
      <c r="BM72" s="518"/>
      <c r="BN72" s="518"/>
      <c r="BO72" s="518"/>
    </row>
    <row r="73" spans="1:67" s="132" customFormat="1" ht="153.75" x14ac:dyDescent="0.3">
      <c r="A73" s="316" t="s">
        <v>741</v>
      </c>
      <c r="B73" s="655" t="s">
        <v>1654</v>
      </c>
      <c r="C73" s="262" t="str">
        <f>CONCATENATE("J","_",2021,"_",A73)</f>
        <v>J_2021_1.6</v>
      </c>
      <c r="D73" s="245" t="s">
        <v>823</v>
      </c>
      <c r="E73" s="245">
        <v>2021</v>
      </c>
      <c r="F73" s="245" t="s">
        <v>621</v>
      </c>
      <c r="G73" s="245">
        <v>2021</v>
      </c>
      <c r="H73" s="246">
        <v>13.66</v>
      </c>
      <c r="I73" s="242">
        <f>'2 (цены с НДС)'!S75/1.2</f>
        <v>13.66</v>
      </c>
      <c r="J73" s="245" t="s">
        <v>621</v>
      </c>
      <c r="K73" s="246">
        <v>13.66</v>
      </c>
      <c r="L73" s="246">
        <v>0</v>
      </c>
      <c r="M73" s="246">
        <v>0</v>
      </c>
      <c r="N73" s="246">
        <v>0</v>
      </c>
      <c r="O73" s="246">
        <v>13.66</v>
      </c>
      <c r="P73" s="927">
        <v>13.66</v>
      </c>
      <c r="Q73" s="246">
        <v>0</v>
      </c>
      <c r="R73" s="246">
        <v>0</v>
      </c>
      <c r="S73" s="246">
        <v>0</v>
      </c>
      <c r="T73" s="245">
        <v>13.66</v>
      </c>
      <c r="U73" s="242" t="s">
        <v>621</v>
      </c>
      <c r="V73" s="242" t="s">
        <v>621</v>
      </c>
      <c r="W73" s="242" t="s">
        <v>621</v>
      </c>
      <c r="X73" s="242" t="s">
        <v>621</v>
      </c>
      <c r="Y73" s="242" t="s">
        <v>621</v>
      </c>
      <c r="Z73" s="242" t="s">
        <v>621</v>
      </c>
      <c r="AA73" s="242" t="s">
        <v>621</v>
      </c>
      <c r="AB73" s="242" t="s">
        <v>621</v>
      </c>
      <c r="AC73" s="242">
        <v>0</v>
      </c>
      <c r="AD73" s="242">
        <f>AC73</f>
        <v>0</v>
      </c>
      <c r="AE73" s="246">
        <v>13.66</v>
      </c>
      <c r="AF73" s="246">
        <v>13.66</v>
      </c>
      <c r="AG73" s="669">
        <v>0</v>
      </c>
      <c r="AH73" s="669">
        <v>0</v>
      </c>
      <c r="AI73" s="669">
        <v>0</v>
      </c>
      <c r="AJ73" s="669">
        <v>0</v>
      </c>
      <c r="AK73" s="669">
        <v>0</v>
      </c>
      <c r="AL73" s="669">
        <v>0</v>
      </c>
      <c r="AM73" s="246">
        <v>13.66</v>
      </c>
      <c r="AN73" s="927">
        <f t="shared" si="15"/>
        <v>13.66</v>
      </c>
      <c r="AO73" s="245" t="s">
        <v>621</v>
      </c>
      <c r="AQ73" s="518"/>
      <c r="AR73" s="519"/>
      <c r="AS73" s="518"/>
      <c r="AT73" s="518"/>
      <c r="AU73" s="518"/>
      <c r="AV73" s="518"/>
      <c r="AW73" s="518"/>
      <c r="AX73" s="518"/>
      <c r="AY73" s="518"/>
      <c r="AZ73" s="518"/>
      <c r="BA73" s="518"/>
      <c r="BB73" s="518"/>
      <c r="BC73" s="518"/>
      <c r="BD73" s="518"/>
      <c r="BE73" s="518"/>
      <c r="BF73" s="518"/>
      <c r="BG73" s="518"/>
      <c r="BH73" s="518"/>
      <c r="BI73" s="518"/>
      <c r="BJ73" s="518"/>
      <c r="BK73" s="518"/>
      <c r="BL73" s="518"/>
      <c r="BM73" s="518"/>
      <c r="BN73" s="518"/>
      <c r="BO73" s="518"/>
    </row>
    <row r="74" spans="1:67" s="132" customFormat="1" x14ac:dyDescent="0.3">
      <c r="AQ74" s="518"/>
      <c r="AR74" s="519"/>
      <c r="AS74" s="518"/>
      <c r="AT74" s="518"/>
      <c r="AU74" s="518"/>
      <c r="AV74" s="518"/>
      <c r="AW74" s="518"/>
      <c r="AX74" s="518"/>
      <c r="AY74" s="518"/>
      <c r="AZ74" s="518"/>
      <c r="BA74" s="518"/>
      <c r="BB74" s="518"/>
      <c r="BC74" s="518"/>
      <c r="BD74" s="518"/>
      <c r="BE74" s="518"/>
      <c r="BF74" s="518"/>
      <c r="BG74" s="518"/>
      <c r="BH74" s="518"/>
      <c r="BI74" s="518"/>
      <c r="BJ74" s="518"/>
      <c r="BK74" s="518"/>
      <c r="BL74" s="518"/>
      <c r="BM74" s="518"/>
      <c r="BN74" s="518"/>
      <c r="BO74" s="518"/>
    </row>
    <row r="75" spans="1:67" s="132" customFormat="1" x14ac:dyDescent="0.3">
      <c r="AQ75" s="518"/>
      <c r="AR75" s="519"/>
      <c r="AS75" s="518"/>
      <c r="AT75" s="518"/>
      <c r="AU75" s="518"/>
      <c r="AV75" s="518"/>
      <c r="AW75" s="518"/>
      <c r="AX75" s="518"/>
      <c r="AY75" s="518"/>
      <c r="AZ75" s="518"/>
      <c r="BA75" s="518"/>
      <c r="BB75" s="518"/>
      <c r="BC75" s="518"/>
      <c r="BD75" s="518"/>
      <c r="BE75" s="518"/>
      <c r="BF75" s="518"/>
      <c r="BG75" s="518"/>
      <c r="BH75" s="518"/>
      <c r="BI75" s="518"/>
      <c r="BJ75" s="518"/>
      <c r="BK75" s="518"/>
      <c r="BL75" s="518"/>
      <c r="BM75" s="518"/>
      <c r="BN75" s="518"/>
      <c r="BO75" s="518"/>
    </row>
    <row r="76" spans="1:67" s="132" customFormat="1" x14ac:dyDescent="0.3">
      <c r="AQ76" s="518"/>
      <c r="AR76" s="519"/>
      <c r="AS76" s="518"/>
      <c r="AT76" s="518"/>
      <c r="AU76" s="518"/>
      <c r="AV76" s="518"/>
      <c r="AW76" s="518"/>
      <c r="AX76" s="518"/>
      <c r="AY76" s="518"/>
      <c r="AZ76" s="518"/>
      <c r="BA76" s="518"/>
      <c r="BB76" s="518"/>
      <c r="BC76" s="518"/>
      <c r="BD76" s="518"/>
      <c r="BE76" s="518"/>
      <c r="BF76" s="518"/>
      <c r="BG76" s="518"/>
      <c r="BH76" s="518"/>
      <c r="BI76" s="518"/>
      <c r="BJ76" s="518"/>
      <c r="BK76" s="518"/>
      <c r="BL76" s="518"/>
      <c r="BM76" s="518"/>
      <c r="BN76" s="518"/>
      <c r="BO76" s="518"/>
    </row>
    <row r="77" spans="1:67" s="132" customFormat="1" x14ac:dyDescent="0.3">
      <c r="AQ77" s="518"/>
      <c r="AR77" s="519"/>
      <c r="AS77" s="518"/>
      <c r="AT77" s="518"/>
      <c r="AU77" s="518"/>
      <c r="AV77" s="518"/>
      <c r="AW77" s="518"/>
      <c r="AX77" s="518"/>
      <c r="AY77" s="518"/>
      <c r="AZ77" s="518"/>
      <c r="BA77" s="518"/>
      <c r="BB77" s="518"/>
      <c r="BC77" s="518"/>
      <c r="BD77" s="518"/>
      <c r="BE77" s="518"/>
      <c r="BF77" s="518"/>
      <c r="BG77" s="518"/>
      <c r="BH77" s="518"/>
      <c r="BI77" s="518"/>
      <c r="BJ77" s="518"/>
      <c r="BK77" s="518"/>
      <c r="BL77" s="518"/>
      <c r="BM77" s="518"/>
      <c r="BN77" s="518"/>
      <c r="BO77" s="518"/>
    </row>
    <row r="78" spans="1:67" s="132" customFormat="1" x14ac:dyDescent="0.3">
      <c r="AQ78" s="518"/>
      <c r="AR78" s="519"/>
      <c r="AS78" s="518"/>
      <c r="AT78" s="518"/>
      <c r="AU78" s="518"/>
      <c r="AV78" s="518"/>
      <c r="AW78" s="518"/>
      <c r="AX78" s="518"/>
      <c r="AY78" s="518"/>
      <c r="AZ78" s="518"/>
      <c r="BA78" s="518"/>
      <c r="BB78" s="518"/>
      <c r="BC78" s="518"/>
      <c r="BD78" s="518"/>
      <c r="BE78" s="518"/>
      <c r="BF78" s="518"/>
      <c r="BG78" s="518"/>
      <c r="BH78" s="518"/>
      <c r="BI78" s="518"/>
      <c r="BJ78" s="518"/>
      <c r="BK78" s="518"/>
      <c r="BL78" s="518"/>
      <c r="BM78" s="518"/>
      <c r="BN78" s="518"/>
      <c r="BO78" s="518"/>
    </row>
    <row r="79" spans="1:67" s="132" customFormat="1" x14ac:dyDescent="0.3">
      <c r="AQ79" s="518"/>
      <c r="AR79" s="519"/>
      <c r="AS79" s="518"/>
      <c r="AT79" s="518"/>
      <c r="AU79" s="518"/>
      <c r="AV79" s="518"/>
      <c r="AW79" s="518"/>
      <c r="AX79" s="518"/>
      <c r="AY79" s="518"/>
      <c r="AZ79" s="518"/>
      <c r="BA79" s="518"/>
      <c r="BB79" s="518"/>
      <c r="BC79" s="518"/>
      <c r="BD79" s="518"/>
      <c r="BE79" s="518"/>
      <c r="BF79" s="518"/>
      <c r="BG79" s="518"/>
      <c r="BH79" s="518"/>
      <c r="BI79" s="518"/>
      <c r="BJ79" s="518"/>
      <c r="BK79" s="518"/>
      <c r="BL79" s="518"/>
      <c r="BM79" s="518"/>
      <c r="BN79" s="518"/>
      <c r="BO79" s="518"/>
    </row>
    <row r="80" spans="1:67" s="132" customFormat="1" x14ac:dyDescent="0.3">
      <c r="AQ80" s="518"/>
      <c r="AR80" s="519"/>
      <c r="AS80" s="518"/>
      <c r="AT80" s="518"/>
      <c r="AU80" s="518"/>
      <c r="AV80" s="518"/>
      <c r="AW80" s="518"/>
      <c r="AX80" s="518"/>
      <c r="AY80" s="518"/>
      <c r="AZ80" s="518"/>
      <c r="BA80" s="518"/>
      <c r="BB80" s="518"/>
      <c r="BC80" s="518"/>
      <c r="BD80" s="518"/>
      <c r="BE80" s="518"/>
      <c r="BF80" s="518"/>
      <c r="BG80" s="518"/>
      <c r="BH80" s="518"/>
      <c r="BI80" s="518"/>
      <c r="BJ80" s="518"/>
      <c r="BK80" s="518"/>
      <c r="BL80" s="518"/>
      <c r="BM80" s="518"/>
      <c r="BN80" s="518"/>
      <c r="BO80" s="518"/>
    </row>
    <row r="82" spans="1:67" s="252" customFormat="1" ht="68.25" customHeight="1" x14ac:dyDescent="0.5">
      <c r="A82" s="1135" t="s">
        <v>1743</v>
      </c>
      <c r="B82" s="1135"/>
      <c r="C82" s="238"/>
      <c r="D82" s="238"/>
      <c r="E82" s="238"/>
      <c r="F82" s="238"/>
      <c r="G82" s="238"/>
      <c r="I82" s="238"/>
      <c r="L82" s="253"/>
      <c r="M82" s="253"/>
      <c r="N82" s="253"/>
      <c r="O82" s="253"/>
      <c r="P82" s="253"/>
      <c r="Q82" s="253"/>
      <c r="R82" s="253"/>
      <c r="S82" s="238" t="s">
        <v>1652</v>
      </c>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535"/>
      <c r="AR82" s="536"/>
      <c r="AS82" s="537"/>
      <c r="AT82" s="537"/>
      <c r="AU82" s="537"/>
      <c r="AV82" s="537"/>
      <c r="AW82" s="537"/>
      <c r="AX82" s="537"/>
      <c r="AY82" s="537"/>
      <c r="AZ82" s="537"/>
      <c r="BA82" s="537"/>
      <c r="BB82" s="537"/>
      <c r="BC82" s="537"/>
      <c r="BD82" s="537"/>
      <c r="BE82" s="537"/>
      <c r="BF82" s="537"/>
      <c r="BG82" s="537"/>
      <c r="BH82" s="537"/>
      <c r="BI82" s="537"/>
      <c r="BJ82" s="537"/>
      <c r="BK82" s="537"/>
      <c r="BL82" s="537"/>
      <c r="BM82" s="537"/>
      <c r="BN82" s="537"/>
      <c r="BO82" s="537"/>
    </row>
    <row r="83" spans="1:67" x14ac:dyDescent="0.3">
      <c r="AD83" s="172"/>
    </row>
  </sheetData>
  <mergeCells count="34">
    <mergeCell ref="K14:T14"/>
    <mergeCell ref="P15:T15"/>
    <mergeCell ref="K15:O15"/>
    <mergeCell ref="AM15:AM16"/>
    <mergeCell ref="AB4:AU4"/>
    <mergeCell ref="A12:T12"/>
    <mergeCell ref="AO14:AO16"/>
    <mergeCell ref="H14:I15"/>
    <mergeCell ref="AC15:AD15"/>
    <mergeCell ref="AE15:AF15"/>
    <mergeCell ref="AG15:AH15"/>
    <mergeCell ref="U15:V15"/>
    <mergeCell ref="Y15:Z15"/>
    <mergeCell ref="U14:Z14"/>
    <mergeCell ref="W15:X15"/>
    <mergeCell ref="D14:D16"/>
    <mergeCell ref="E14:E16"/>
    <mergeCell ref="F14:G15"/>
    <mergeCell ref="A82:B82"/>
    <mergeCell ref="A4:T4"/>
    <mergeCell ref="A6:T6"/>
    <mergeCell ref="A7:T7"/>
    <mergeCell ref="A9:T9"/>
    <mergeCell ref="A11:T11"/>
    <mergeCell ref="A13:AN13"/>
    <mergeCell ref="A14:A16"/>
    <mergeCell ref="B14:B16"/>
    <mergeCell ref="C14:C16"/>
    <mergeCell ref="AA14:AB15"/>
    <mergeCell ref="AI15:AJ15"/>
    <mergeCell ref="AK15:AL15"/>
    <mergeCell ref="J14:J16"/>
    <mergeCell ref="AN15:AN16"/>
    <mergeCell ref="AC14:AN14"/>
  </mergeCells>
  <printOptions horizontalCentered="1"/>
  <pageMargins left="0.19685039370078741" right="0.11811023622047245" top="0.55118110236220474" bottom="0" header="0.31496062992125984" footer="0.31496062992125984"/>
  <pageSetup paperSize="8" scale="28" firstPageNumber="2" fitToWidth="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M78"/>
  <sheetViews>
    <sheetView view="pageBreakPreview" topLeftCell="A13" zoomScale="50" zoomScaleNormal="70" zoomScaleSheetLayoutView="50" workbookViewId="0">
      <pane xSplit="2" ySplit="7" topLeftCell="BF62" activePane="bottomRight" state="frozen"/>
      <selection activeCell="A13" sqref="A13"/>
      <selection pane="topRight" activeCell="C13" sqref="C13"/>
      <selection pane="bottomLeft" activeCell="A20" sqref="A20"/>
      <selection pane="bottomRight" activeCell="BK83" sqref="BK83"/>
    </sheetView>
  </sheetViews>
  <sheetFormatPr defaultRowHeight="20.25" x14ac:dyDescent="0.3"/>
  <cols>
    <col min="1" max="1" width="20.125" style="133" customWidth="1"/>
    <col min="2" max="2" width="72.375" style="133" customWidth="1"/>
    <col min="3" max="3" width="25.875" style="133" customWidth="1"/>
    <col min="4" max="4" width="18.125" style="133" customWidth="1"/>
    <col min="5" max="5" width="17.375" style="133" customWidth="1"/>
    <col min="6" max="6" width="13.5" style="132" customWidth="1"/>
    <col min="7" max="7" width="9.25" style="132" bestFit="1" customWidth="1"/>
    <col min="8" max="12" width="5.75" style="132" bestFit="1" customWidth="1"/>
    <col min="13" max="13" width="17.25" style="132" customWidth="1"/>
    <col min="14" max="14" width="9.25" style="132" bestFit="1" customWidth="1"/>
    <col min="15" max="18" width="5.75" style="132" bestFit="1" customWidth="1"/>
    <col min="19" max="19" width="13.25" style="132" customWidth="1"/>
    <col min="20" max="20" width="12.5" style="133" customWidth="1"/>
    <col min="21" max="21" width="12.375" style="133" customWidth="1"/>
    <col min="22" max="22" width="10.125" style="133" customWidth="1"/>
    <col min="23" max="23" width="6" style="133" customWidth="1"/>
    <col min="24" max="24" width="11.125" style="133" bestFit="1" customWidth="1"/>
    <col min="25" max="25" width="6" style="133" customWidth="1"/>
    <col min="26" max="26" width="6.625" style="133" customWidth="1"/>
    <col min="27" max="27" width="15.125" style="133" customWidth="1"/>
    <col min="28" max="28" width="13.375" style="133" customWidth="1"/>
    <col min="29" max="29" width="12.875" style="133" customWidth="1"/>
    <col min="30" max="30" width="6" style="133" customWidth="1"/>
    <col min="31" max="31" width="12.625" style="133" customWidth="1"/>
    <col min="32" max="32" width="12.25" style="133" customWidth="1"/>
    <col min="33" max="33" width="8.625" style="133" customWidth="1"/>
    <col min="34" max="34" width="11.375" style="133" customWidth="1"/>
    <col min="35" max="35" width="15.875" style="133" customWidth="1"/>
    <col min="36" max="36" width="10.375" style="133" customWidth="1"/>
    <col min="37" max="37" width="6" style="133" customWidth="1"/>
    <col min="38" max="38" width="11.125" style="133" bestFit="1" customWidth="1"/>
    <col min="39" max="39" width="6" style="133" customWidth="1"/>
    <col min="40" max="40" width="15" style="133" customWidth="1"/>
    <col min="41" max="41" width="10.375" style="133" customWidth="1"/>
    <col min="42" max="42" width="13.75" style="133" customWidth="1"/>
    <col min="43" max="43" width="10.75" style="133" customWidth="1"/>
    <col min="44" max="44" width="6" style="133" customWidth="1"/>
    <col min="45" max="45" width="14.125" style="133" customWidth="1"/>
    <col min="46" max="46" width="6" style="133" customWidth="1"/>
    <col min="47" max="47" width="14.875" style="133" customWidth="1"/>
    <col min="48" max="48" width="12.125" style="133" customWidth="1"/>
    <col min="49" max="49" width="11.375" style="133" customWidth="1"/>
    <col min="50" max="50" width="11" style="133" customWidth="1"/>
    <col min="51" max="51" width="6" style="133" customWidth="1"/>
    <col min="52" max="52" width="11.375" style="133" bestFit="1" customWidth="1"/>
    <col min="53" max="53" width="6" style="133" customWidth="1"/>
    <col min="54" max="54" width="11" style="133" customWidth="1"/>
    <col min="55" max="55" width="11.5" style="133" customWidth="1"/>
    <col min="56" max="56" width="13.625" style="133" customWidth="1"/>
    <col min="57" max="57" width="11.625" style="133" customWidth="1"/>
    <col min="58" max="58" width="6" style="133" customWidth="1"/>
    <col min="59" max="59" width="12.875" style="133" customWidth="1"/>
    <col min="60" max="60" width="6" style="133" customWidth="1"/>
    <col min="61" max="61" width="9.875" style="133" customWidth="1"/>
    <col min="62" max="62" width="13.5" style="199" customWidth="1"/>
    <col min="63" max="63" width="11" style="133" customWidth="1"/>
    <col min="64" max="64" width="9.125" style="133" customWidth="1"/>
    <col min="65" max="65" width="6" style="133" customWidth="1"/>
    <col min="66" max="66" width="11.125" style="133" bestFit="1" customWidth="1"/>
    <col min="67" max="67" width="6" style="133" customWidth="1"/>
    <col min="68" max="68" width="14.375" style="133" customWidth="1"/>
    <col min="69" max="69" width="13.125" style="133" customWidth="1"/>
    <col min="70" max="70" width="15.375" style="133" customWidth="1"/>
    <col min="71" max="71" width="12.625" style="133" customWidth="1"/>
    <col min="72" max="72" width="6" style="133" customWidth="1"/>
    <col min="73" max="73" width="11.625" style="133" customWidth="1"/>
    <col min="74" max="74" width="6" style="133" customWidth="1"/>
    <col min="75" max="75" width="17.75" style="133" customWidth="1"/>
    <col min="76" max="76" width="12.625" style="133" customWidth="1"/>
    <col min="77" max="77" width="11.875" style="133" customWidth="1"/>
    <col min="78" max="79" width="6" style="133" customWidth="1"/>
    <col min="80" max="80" width="11.125" style="133" bestFit="1" customWidth="1"/>
    <col min="81" max="81" width="6" style="133" customWidth="1"/>
    <col min="82" max="82" width="12" style="133" customWidth="1"/>
    <col min="83" max="83" width="14.75" style="133" customWidth="1"/>
    <col min="84" max="84" width="13.75" style="133" customWidth="1"/>
    <col min="85" max="86" width="6" style="133" customWidth="1"/>
    <col min="87" max="87" width="15.125" style="133" customWidth="1"/>
    <col min="88" max="88" width="6" style="133" customWidth="1"/>
    <col min="89" max="89" width="15.125" style="133" customWidth="1"/>
    <col min="90" max="90" width="16" style="133" customWidth="1"/>
    <col min="91" max="91" width="14.375" style="133" customWidth="1"/>
    <col min="92" max="92" width="12.75" style="133" customWidth="1"/>
    <col min="93" max="93" width="6" style="133" customWidth="1"/>
    <col min="94" max="94" width="14.875" style="133" customWidth="1"/>
    <col min="95" max="95" width="6" style="133" customWidth="1"/>
    <col min="96" max="96" width="11.75" style="133" customWidth="1"/>
    <col min="97" max="97" width="14.5" style="133" customWidth="1"/>
    <col min="98" max="98" width="15.5" style="133" customWidth="1"/>
    <col min="99" max="99" width="14.5" style="133" customWidth="1"/>
    <col min="100" max="100" width="6" style="133" customWidth="1"/>
    <col min="101" max="101" width="14.75" style="133" customWidth="1"/>
    <col min="102" max="102" width="7.375" style="133" customWidth="1"/>
    <col min="103" max="103" width="13" style="133" customWidth="1"/>
    <col min="104" max="104" width="33.75" style="133" customWidth="1"/>
    <col min="105" max="105" width="4.125" style="133" customWidth="1"/>
    <col min="106" max="106" width="3.75" style="133" customWidth="1"/>
    <col min="107" max="107" width="3.875" style="133" customWidth="1"/>
    <col min="108" max="108" width="4.5" style="133" customWidth="1"/>
    <col min="109" max="109" width="5" style="133" customWidth="1"/>
    <col min="110" max="110" width="5.5" style="133" customWidth="1"/>
    <col min="111" max="111" width="5.75" style="133" customWidth="1"/>
    <col min="112" max="112" width="5.5" style="133" customWidth="1"/>
    <col min="113" max="114" width="5" style="133" customWidth="1"/>
    <col min="115" max="115" width="12.875" style="133" customWidth="1"/>
    <col min="116" max="125" width="5" style="133" customWidth="1"/>
    <col min="126" max="16384" width="9" style="133"/>
  </cols>
  <sheetData>
    <row r="1" spans="1:117" x14ac:dyDescent="0.3">
      <c r="AB1" s="132"/>
      <c r="AC1" s="132"/>
      <c r="AD1" s="132"/>
      <c r="AE1" s="132"/>
      <c r="AF1" s="132"/>
      <c r="AG1" s="138" t="s">
        <v>349</v>
      </c>
      <c r="AH1" s="132"/>
      <c r="AI1" s="132"/>
      <c r="AJ1" s="132"/>
      <c r="AK1" s="132"/>
      <c r="AL1" s="132"/>
      <c r="AM1" s="132"/>
      <c r="AN1" s="132"/>
      <c r="AO1" s="132"/>
      <c r="AP1" s="132"/>
    </row>
    <row r="2" spans="1:117" x14ac:dyDescent="0.3">
      <c r="AB2" s="132"/>
      <c r="AC2" s="132"/>
      <c r="AD2" s="132"/>
      <c r="AE2" s="132"/>
      <c r="AF2" s="132"/>
      <c r="AG2" s="140" t="s">
        <v>1</v>
      </c>
      <c r="AH2" s="132"/>
      <c r="AI2" s="132"/>
      <c r="AJ2" s="132"/>
      <c r="AK2" s="132"/>
      <c r="AL2" s="132"/>
      <c r="AM2" s="132"/>
      <c r="AN2" s="132"/>
      <c r="AO2" s="132"/>
      <c r="AP2" s="132"/>
    </row>
    <row r="3" spans="1:117" ht="36.75" customHeight="1" x14ac:dyDescent="0.3">
      <c r="AB3" s="132"/>
      <c r="AC3" s="132"/>
      <c r="AD3" s="132"/>
      <c r="AE3" s="132"/>
      <c r="AF3" s="132"/>
      <c r="AG3" s="140" t="s">
        <v>265</v>
      </c>
      <c r="AH3" s="132"/>
      <c r="AI3" s="132"/>
      <c r="AJ3" s="132"/>
      <c r="AK3" s="132"/>
      <c r="AL3" s="132"/>
      <c r="AM3" s="132"/>
      <c r="AN3" s="132"/>
      <c r="AO3" s="132"/>
      <c r="AP3" s="132"/>
    </row>
    <row r="4" spans="1:117" x14ac:dyDescent="0.3">
      <c r="B4" s="339"/>
      <c r="C4" s="339"/>
      <c r="D4" s="339"/>
      <c r="E4" s="339"/>
      <c r="F4" s="339"/>
      <c r="G4" s="339"/>
      <c r="H4" s="339"/>
      <c r="I4" s="339"/>
      <c r="J4" s="339"/>
      <c r="K4" s="339"/>
      <c r="L4" s="339"/>
      <c r="M4" s="339" t="s">
        <v>394</v>
      </c>
      <c r="N4" s="339"/>
      <c r="O4" s="339"/>
      <c r="P4" s="339"/>
      <c r="Q4" s="339"/>
      <c r="R4" s="339"/>
      <c r="S4" s="339"/>
      <c r="T4" s="339"/>
      <c r="U4" s="339"/>
      <c r="V4" s="339"/>
      <c r="W4" s="339"/>
      <c r="X4" s="339"/>
      <c r="Y4" s="339"/>
      <c r="Z4" s="339"/>
      <c r="AA4" s="339"/>
      <c r="AB4" s="339"/>
      <c r="AC4" s="339"/>
      <c r="AD4" s="339"/>
      <c r="AE4" s="339"/>
      <c r="AF4" s="339"/>
      <c r="AG4" s="339"/>
      <c r="AH4" s="184"/>
      <c r="AI4" s="184"/>
      <c r="AJ4" s="184"/>
      <c r="AK4" s="184"/>
      <c r="AL4" s="184"/>
      <c r="AM4" s="184"/>
      <c r="AN4" s="184"/>
      <c r="AO4" s="184"/>
      <c r="AP4" s="184"/>
      <c r="AQ4" s="184"/>
      <c r="AR4" s="184"/>
      <c r="AS4" s="184"/>
      <c r="AT4" s="184"/>
      <c r="AU4" s="184"/>
      <c r="AV4" s="1213" t="s">
        <v>852</v>
      </c>
      <c r="AW4" s="1213"/>
      <c r="AX4" s="1213"/>
      <c r="AY4" s="1213"/>
      <c r="AZ4" s="1213"/>
      <c r="BA4" s="1213"/>
      <c r="BB4" s="1213"/>
      <c r="BC4" s="1213"/>
      <c r="BD4" s="1213"/>
      <c r="BE4" s="1213"/>
      <c r="BF4" s="1213"/>
      <c r="BG4" s="1213"/>
      <c r="BH4" s="1213"/>
      <c r="BI4" s="1213"/>
      <c r="BJ4" s="1213"/>
      <c r="BK4" s="1213"/>
      <c r="BL4" s="1213"/>
      <c r="BM4" s="1213"/>
      <c r="BN4" s="1213"/>
      <c r="BO4" s="1213"/>
      <c r="BP4" s="1213"/>
      <c r="BQ4" s="1213"/>
      <c r="BR4" s="1213"/>
      <c r="BS4" s="1213"/>
      <c r="BT4" s="1213"/>
      <c r="BU4" s="1213"/>
      <c r="BV4" s="1213"/>
      <c r="BW4" s="1213"/>
      <c r="BX4" s="1213"/>
      <c r="BY4" s="1213"/>
      <c r="BZ4" s="1213"/>
      <c r="CA4" s="1213"/>
      <c r="CB4" s="1213"/>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row>
    <row r="5" spans="1:117" x14ac:dyDescent="0.3">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335"/>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32"/>
      <c r="DB5" s="132"/>
    </row>
    <row r="6" spans="1:117" s="129" customFormat="1" ht="21.75" customHeight="1" x14ac:dyDescent="0.3">
      <c r="B6" s="326"/>
      <c r="C6" s="326"/>
      <c r="D6" s="326"/>
      <c r="E6" s="326"/>
      <c r="F6" s="326"/>
      <c r="G6" s="326"/>
      <c r="H6" s="326"/>
      <c r="I6" s="326"/>
      <c r="J6" s="326"/>
      <c r="K6" s="326"/>
      <c r="L6" s="326"/>
      <c r="M6" s="326" t="s">
        <v>842</v>
      </c>
      <c r="N6" s="326"/>
      <c r="O6" s="326"/>
      <c r="P6" s="326"/>
      <c r="Q6" s="326"/>
      <c r="R6" s="326"/>
      <c r="S6" s="326"/>
      <c r="T6" s="326"/>
      <c r="U6" s="326"/>
      <c r="V6" s="326"/>
      <c r="W6" s="326"/>
      <c r="X6" s="326"/>
      <c r="Y6" s="326"/>
      <c r="Z6" s="326"/>
      <c r="AA6" s="326"/>
      <c r="AB6" s="326"/>
      <c r="AC6" s="326"/>
      <c r="AD6" s="326"/>
      <c r="AE6" s="326"/>
      <c r="AF6" s="326"/>
      <c r="AG6" s="326"/>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326"/>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row>
    <row r="7" spans="1:117" s="129" customFormat="1" ht="30.75" customHeight="1" x14ac:dyDescent="0.3">
      <c r="B7" s="327"/>
      <c r="C7" s="327"/>
      <c r="D7" s="327"/>
      <c r="E7" s="327"/>
      <c r="F7" s="327"/>
      <c r="G7" s="327"/>
      <c r="H7" s="327"/>
      <c r="I7" s="327"/>
      <c r="J7" s="327"/>
      <c r="K7" s="327"/>
      <c r="L7" s="327"/>
      <c r="M7" s="327" t="s">
        <v>313</v>
      </c>
      <c r="N7" s="327"/>
      <c r="O7" s="327"/>
      <c r="P7" s="327"/>
      <c r="Q7" s="327"/>
      <c r="R7" s="327"/>
      <c r="S7" s="327"/>
      <c r="T7" s="327"/>
      <c r="U7" s="327"/>
      <c r="V7" s="327"/>
      <c r="W7" s="327"/>
      <c r="X7" s="327"/>
      <c r="Y7" s="327"/>
      <c r="Z7" s="327"/>
      <c r="AA7" s="327"/>
      <c r="AB7" s="327"/>
      <c r="AC7" s="327"/>
      <c r="AD7" s="327"/>
      <c r="AE7" s="327"/>
      <c r="AF7" s="327"/>
      <c r="AG7" s="327"/>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327"/>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row>
    <row r="8" spans="1:117" s="129" customFormat="1" x14ac:dyDescent="0.3">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BJ8" s="342"/>
    </row>
    <row r="9" spans="1:117" s="129" customFormat="1" ht="16.5" customHeight="1" x14ac:dyDescent="0.3">
      <c r="B9" s="326"/>
      <c r="C9" s="326"/>
      <c r="D9" s="326"/>
      <c r="E9" s="326"/>
      <c r="F9" s="326"/>
      <c r="G9" s="326"/>
      <c r="H9" s="326"/>
      <c r="I9" s="326"/>
      <c r="J9" s="326"/>
      <c r="K9" s="326"/>
      <c r="L9" s="326"/>
      <c r="M9" s="326" t="s">
        <v>938</v>
      </c>
      <c r="N9" s="326"/>
      <c r="O9" s="326"/>
      <c r="P9" s="326"/>
      <c r="Q9" s="326"/>
      <c r="R9" s="326"/>
      <c r="S9" s="326"/>
      <c r="T9" s="326"/>
      <c r="U9" s="326"/>
      <c r="V9" s="326"/>
      <c r="W9" s="326"/>
      <c r="X9" s="326"/>
      <c r="Y9" s="326"/>
      <c r="Z9" s="326"/>
      <c r="AA9" s="326"/>
      <c r="AB9" s="326"/>
      <c r="AC9" s="326"/>
      <c r="AD9" s="326"/>
      <c r="AE9" s="326"/>
      <c r="AF9" s="326"/>
      <c r="AG9" s="326"/>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326"/>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row>
    <row r="10" spans="1:117" x14ac:dyDescent="0.3">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335"/>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32"/>
      <c r="DB10" s="132"/>
    </row>
    <row r="11" spans="1:117" ht="26.25" customHeight="1" x14ac:dyDescent="0.3">
      <c r="B11" s="340"/>
      <c r="C11" s="340"/>
      <c r="D11" s="340"/>
      <c r="E11" s="340"/>
      <c r="F11" s="340"/>
      <c r="G11" s="340"/>
      <c r="H11" s="340"/>
      <c r="I11" s="340"/>
      <c r="J11" s="340"/>
      <c r="K11" s="340"/>
      <c r="L11" s="340"/>
      <c r="M11" s="515" t="s">
        <v>940</v>
      </c>
      <c r="N11" s="340"/>
      <c r="O11" s="340"/>
      <c r="P11" s="340"/>
      <c r="Q11" s="340"/>
      <c r="R11" s="340"/>
      <c r="S11" s="340"/>
      <c r="T11" s="340"/>
      <c r="U11" s="340"/>
      <c r="V11" s="340"/>
      <c r="W11" s="340"/>
      <c r="X11" s="340"/>
      <c r="Y11" s="340"/>
      <c r="Z11" s="340"/>
      <c r="AA11" s="340"/>
      <c r="AB11" s="340"/>
      <c r="AC11" s="340"/>
      <c r="AD11" s="340"/>
      <c r="AE11" s="340"/>
      <c r="AF11" s="340"/>
      <c r="AG11" s="340"/>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340"/>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42"/>
      <c r="DB11" s="142"/>
      <c r="DC11" s="142"/>
      <c r="DD11" s="142"/>
      <c r="DE11" s="142"/>
      <c r="DF11" s="142"/>
      <c r="DG11" s="142"/>
      <c r="DH11" s="142"/>
      <c r="DI11" s="142"/>
      <c r="DJ11" s="142"/>
      <c r="DK11" s="142"/>
      <c r="DL11" s="142"/>
      <c r="DM11" s="142"/>
    </row>
    <row r="12" spans="1:117" x14ac:dyDescent="0.3">
      <c r="B12" s="340"/>
      <c r="C12" s="340"/>
      <c r="D12" s="340"/>
      <c r="E12" s="340"/>
      <c r="F12" s="340"/>
      <c r="G12" s="340"/>
      <c r="H12" s="340"/>
      <c r="I12" s="340"/>
      <c r="J12" s="340"/>
      <c r="K12" s="340"/>
      <c r="L12" s="340"/>
      <c r="M12" s="340" t="s">
        <v>666</v>
      </c>
      <c r="N12" s="340"/>
      <c r="O12" s="340"/>
      <c r="P12" s="340"/>
      <c r="Q12" s="340"/>
      <c r="R12" s="340"/>
      <c r="S12" s="340"/>
      <c r="T12" s="340"/>
      <c r="U12" s="340"/>
      <c r="V12" s="340"/>
      <c r="W12" s="340"/>
      <c r="X12" s="340"/>
      <c r="Y12" s="340"/>
      <c r="Z12" s="340"/>
      <c r="AA12" s="340"/>
      <c r="AB12" s="340"/>
      <c r="AC12" s="340"/>
      <c r="AD12" s="340"/>
      <c r="AE12" s="340"/>
      <c r="AF12" s="340"/>
      <c r="AG12" s="340"/>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340"/>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42"/>
      <c r="DB12" s="142"/>
      <c r="DC12" s="142"/>
      <c r="DD12" s="142"/>
      <c r="DE12" s="142"/>
      <c r="DF12" s="142"/>
      <c r="DG12" s="142"/>
      <c r="DH12" s="142"/>
      <c r="DI12" s="142"/>
      <c r="DJ12" s="142"/>
      <c r="DK12" s="142"/>
      <c r="DL12" s="142"/>
      <c r="DM12" s="142"/>
    </row>
    <row r="13" spans="1:117" ht="15.75" customHeight="1" thickBot="1" x14ac:dyDescent="0.35">
      <c r="A13" s="979"/>
      <c r="B13" s="979"/>
      <c r="C13" s="979"/>
      <c r="D13" s="979"/>
      <c r="E13" s="979"/>
      <c r="F13" s="979"/>
      <c r="G13" s="979"/>
      <c r="H13" s="979"/>
      <c r="I13" s="979"/>
      <c r="J13" s="979"/>
      <c r="K13" s="979"/>
      <c r="L13" s="979"/>
      <c r="M13" s="979"/>
      <c r="N13" s="979"/>
      <c r="O13" s="979"/>
      <c r="P13" s="979"/>
      <c r="Q13" s="979"/>
      <c r="R13" s="979"/>
      <c r="S13" s="979"/>
      <c r="T13" s="979"/>
      <c r="U13" s="979"/>
      <c r="V13" s="979"/>
      <c r="W13" s="979"/>
      <c r="X13" s="979"/>
      <c r="Y13" s="979"/>
      <c r="Z13" s="979"/>
      <c r="AA13" s="979"/>
      <c r="AB13" s="979"/>
      <c r="AC13" s="979"/>
      <c r="AD13" s="979"/>
      <c r="AE13" s="979"/>
      <c r="AF13" s="979"/>
      <c r="AG13" s="979"/>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187"/>
      <c r="CZ13" s="188"/>
      <c r="DA13" s="188"/>
      <c r="DB13" s="188"/>
      <c r="DC13" s="188"/>
      <c r="DD13" s="188"/>
      <c r="DE13" s="188"/>
      <c r="DF13" s="188"/>
      <c r="DG13" s="188"/>
      <c r="DH13" s="188"/>
      <c r="DI13" s="188"/>
      <c r="DJ13" s="188"/>
      <c r="DK13" s="188"/>
    </row>
    <row r="14" spans="1:117" ht="31.5" customHeight="1" thickBot="1" x14ac:dyDescent="0.35">
      <c r="A14" s="1196" t="s">
        <v>179</v>
      </c>
      <c r="B14" s="1199" t="s">
        <v>31</v>
      </c>
      <c r="C14" s="1199" t="s">
        <v>4</v>
      </c>
      <c r="D14" s="1176" t="s">
        <v>311</v>
      </c>
      <c r="E14" s="1177"/>
      <c r="F14" s="1204" t="s">
        <v>949</v>
      </c>
      <c r="G14" s="1205"/>
      <c r="H14" s="1205"/>
      <c r="I14" s="1205"/>
      <c r="J14" s="1205"/>
      <c r="K14" s="1205"/>
      <c r="L14" s="1205"/>
      <c r="M14" s="1205"/>
      <c r="N14" s="1205"/>
      <c r="O14" s="1205"/>
      <c r="P14" s="1205"/>
      <c r="Q14" s="1205"/>
      <c r="R14" s="1205"/>
      <c r="S14" s="1206"/>
      <c r="T14" s="1191" t="s">
        <v>314</v>
      </c>
      <c r="U14" s="1192"/>
      <c r="V14" s="1192"/>
      <c r="W14" s="1192"/>
      <c r="X14" s="1192"/>
      <c r="Y14" s="1192"/>
      <c r="Z14" s="1192"/>
      <c r="AA14" s="1192"/>
      <c r="AB14" s="1192"/>
      <c r="AC14" s="1192"/>
      <c r="AD14" s="1192"/>
      <c r="AE14" s="1192"/>
      <c r="AF14" s="1192"/>
      <c r="AG14" s="1193"/>
      <c r="AH14" s="1194" t="s">
        <v>314</v>
      </c>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214" t="s">
        <v>169</v>
      </c>
      <c r="DA14" s="189"/>
      <c r="DB14" s="189"/>
      <c r="DC14" s="189"/>
      <c r="DD14" s="189"/>
      <c r="DE14" s="189"/>
      <c r="DF14" s="189"/>
      <c r="DG14" s="189"/>
      <c r="DH14" s="189"/>
      <c r="DI14" s="189"/>
      <c r="DJ14" s="189"/>
      <c r="DK14" s="189"/>
    </row>
    <row r="15" spans="1:117" ht="6.75" customHeight="1" x14ac:dyDescent="0.3">
      <c r="A15" s="1197"/>
      <c r="B15" s="1200"/>
      <c r="C15" s="1200"/>
      <c r="D15" s="1178"/>
      <c r="E15" s="1179"/>
      <c r="F15" s="1207"/>
      <c r="G15" s="1208"/>
      <c r="H15" s="1208"/>
      <c r="I15" s="1208"/>
      <c r="J15" s="1208"/>
      <c r="K15" s="1208"/>
      <c r="L15" s="1208"/>
      <c r="M15" s="1208"/>
      <c r="N15" s="1208"/>
      <c r="O15" s="1208"/>
      <c r="P15" s="1208"/>
      <c r="Q15" s="1208"/>
      <c r="R15" s="1208"/>
      <c r="S15" s="1209"/>
      <c r="T15" s="1217">
        <v>2020</v>
      </c>
      <c r="U15" s="1202"/>
      <c r="V15" s="1202"/>
      <c r="W15" s="1202"/>
      <c r="X15" s="1202"/>
      <c r="Y15" s="1202"/>
      <c r="Z15" s="1202"/>
      <c r="AA15" s="1202"/>
      <c r="AB15" s="1202"/>
      <c r="AC15" s="1202"/>
      <c r="AD15" s="1202"/>
      <c r="AE15" s="1202"/>
      <c r="AF15" s="1202"/>
      <c r="AG15" s="1212"/>
      <c r="AH15" s="1189">
        <v>2021</v>
      </c>
      <c r="AI15" s="1189"/>
      <c r="AJ15" s="1189"/>
      <c r="AK15" s="1189"/>
      <c r="AL15" s="1189"/>
      <c r="AM15" s="1189"/>
      <c r="AN15" s="1189"/>
      <c r="AO15" s="1189"/>
      <c r="AP15" s="1189"/>
      <c r="AQ15" s="1189"/>
      <c r="AR15" s="1189"/>
      <c r="AS15" s="1189"/>
      <c r="AT15" s="1189"/>
      <c r="AU15" s="1190"/>
      <c r="AV15" s="1188">
        <v>2022</v>
      </c>
      <c r="AW15" s="1189"/>
      <c r="AX15" s="1189"/>
      <c r="AY15" s="1189"/>
      <c r="AZ15" s="1189"/>
      <c r="BA15" s="1189"/>
      <c r="BB15" s="1189"/>
      <c r="BC15" s="1189"/>
      <c r="BD15" s="1189"/>
      <c r="BE15" s="1189"/>
      <c r="BF15" s="1189"/>
      <c r="BG15" s="1189"/>
      <c r="BH15" s="1189"/>
      <c r="BI15" s="1189"/>
      <c r="BJ15" s="1188">
        <v>2023</v>
      </c>
      <c r="BK15" s="1189"/>
      <c r="BL15" s="1189"/>
      <c r="BM15" s="1189"/>
      <c r="BN15" s="1189"/>
      <c r="BO15" s="1189"/>
      <c r="BP15" s="1189"/>
      <c r="BQ15" s="1189"/>
      <c r="BR15" s="1189"/>
      <c r="BS15" s="1189"/>
      <c r="BT15" s="1189"/>
      <c r="BU15" s="1189"/>
      <c r="BV15" s="1189"/>
      <c r="BW15" s="1190"/>
      <c r="BX15" s="1188">
        <v>2024</v>
      </c>
      <c r="BY15" s="1189"/>
      <c r="BZ15" s="1189"/>
      <c r="CA15" s="1189"/>
      <c r="CB15" s="1189"/>
      <c r="CC15" s="1189"/>
      <c r="CD15" s="1189"/>
      <c r="CE15" s="1189"/>
      <c r="CF15" s="1189"/>
      <c r="CG15" s="1189"/>
      <c r="CH15" s="1189"/>
      <c r="CI15" s="1189"/>
      <c r="CJ15" s="1189"/>
      <c r="CK15" s="1190"/>
      <c r="CL15" s="1185" t="s">
        <v>3</v>
      </c>
      <c r="CM15" s="1186"/>
      <c r="CN15" s="1186"/>
      <c r="CO15" s="1186"/>
      <c r="CP15" s="1186"/>
      <c r="CQ15" s="1186"/>
      <c r="CR15" s="1186"/>
      <c r="CS15" s="1186"/>
      <c r="CT15" s="1186"/>
      <c r="CU15" s="1186"/>
      <c r="CV15" s="1186"/>
      <c r="CW15" s="1186"/>
      <c r="CX15" s="1186"/>
      <c r="CY15" s="1187"/>
      <c r="CZ15" s="1215"/>
    </row>
    <row r="16" spans="1:117" ht="33" customHeight="1" x14ac:dyDescent="0.3">
      <c r="A16" s="1197"/>
      <c r="B16" s="1200"/>
      <c r="C16" s="1200"/>
      <c r="D16" s="1178"/>
      <c r="E16" s="1179"/>
      <c r="F16" s="1180" t="s">
        <v>408</v>
      </c>
      <c r="G16" s="1181"/>
      <c r="H16" s="1181"/>
      <c r="I16" s="1181"/>
      <c r="J16" s="1181"/>
      <c r="K16" s="1181"/>
      <c r="L16" s="1181"/>
      <c r="M16" s="1182" t="s">
        <v>415</v>
      </c>
      <c r="N16" s="1183"/>
      <c r="O16" s="1183"/>
      <c r="P16" s="1183"/>
      <c r="Q16" s="1183"/>
      <c r="R16" s="1183"/>
      <c r="S16" s="1184"/>
      <c r="T16" s="1217" t="s">
        <v>408</v>
      </c>
      <c r="U16" s="1202"/>
      <c r="V16" s="1202"/>
      <c r="W16" s="1202"/>
      <c r="X16" s="1202"/>
      <c r="Y16" s="1202"/>
      <c r="Z16" s="1202"/>
      <c r="AA16" s="1210" t="s">
        <v>415</v>
      </c>
      <c r="AB16" s="1210"/>
      <c r="AC16" s="1210"/>
      <c r="AD16" s="1210"/>
      <c r="AE16" s="1210"/>
      <c r="AF16" s="1210"/>
      <c r="AG16" s="1211"/>
      <c r="AH16" s="1181" t="s">
        <v>408</v>
      </c>
      <c r="AI16" s="1181"/>
      <c r="AJ16" s="1181"/>
      <c r="AK16" s="1181"/>
      <c r="AL16" s="1181"/>
      <c r="AM16" s="1181"/>
      <c r="AN16" s="1181"/>
      <c r="AO16" s="1182" t="s">
        <v>415</v>
      </c>
      <c r="AP16" s="1183"/>
      <c r="AQ16" s="1183"/>
      <c r="AR16" s="1183"/>
      <c r="AS16" s="1183"/>
      <c r="AT16" s="1183"/>
      <c r="AU16" s="1184"/>
      <c r="AV16" s="1180" t="s">
        <v>408</v>
      </c>
      <c r="AW16" s="1181"/>
      <c r="AX16" s="1181"/>
      <c r="AY16" s="1181"/>
      <c r="AZ16" s="1181"/>
      <c r="BA16" s="1181"/>
      <c r="BB16" s="1181"/>
      <c r="BC16" s="1182" t="s">
        <v>415</v>
      </c>
      <c r="BD16" s="1183"/>
      <c r="BE16" s="1183"/>
      <c r="BF16" s="1183"/>
      <c r="BG16" s="1183"/>
      <c r="BH16" s="1183"/>
      <c r="BI16" s="1183"/>
      <c r="BJ16" s="1180" t="s">
        <v>408</v>
      </c>
      <c r="BK16" s="1181"/>
      <c r="BL16" s="1181"/>
      <c r="BM16" s="1181"/>
      <c r="BN16" s="1181"/>
      <c r="BO16" s="1181"/>
      <c r="BP16" s="1181"/>
      <c r="BQ16" s="1182" t="s">
        <v>415</v>
      </c>
      <c r="BR16" s="1183"/>
      <c r="BS16" s="1183"/>
      <c r="BT16" s="1183"/>
      <c r="BU16" s="1183"/>
      <c r="BV16" s="1183"/>
      <c r="BW16" s="1184"/>
      <c r="BX16" s="1180" t="s">
        <v>408</v>
      </c>
      <c r="BY16" s="1181"/>
      <c r="BZ16" s="1181"/>
      <c r="CA16" s="1181"/>
      <c r="CB16" s="1181"/>
      <c r="CC16" s="1181"/>
      <c r="CD16" s="1181"/>
      <c r="CE16" s="1182" t="s">
        <v>415</v>
      </c>
      <c r="CF16" s="1183"/>
      <c r="CG16" s="1183"/>
      <c r="CH16" s="1183"/>
      <c r="CI16" s="1183"/>
      <c r="CJ16" s="1183"/>
      <c r="CK16" s="1184"/>
      <c r="CL16" s="1180" t="s">
        <v>19</v>
      </c>
      <c r="CM16" s="1181"/>
      <c r="CN16" s="1181"/>
      <c r="CO16" s="1181"/>
      <c r="CP16" s="1181"/>
      <c r="CQ16" s="1181"/>
      <c r="CR16" s="1181"/>
      <c r="CS16" s="1182" t="s">
        <v>168</v>
      </c>
      <c r="CT16" s="1183"/>
      <c r="CU16" s="1183"/>
      <c r="CV16" s="1183"/>
      <c r="CW16" s="1183"/>
      <c r="CX16" s="1183"/>
      <c r="CY16" s="1184"/>
      <c r="CZ16" s="1215"/>
    </row>
    <row r="17" spans="1:106" ht="61.5" customHeight="1" x14ac:dyDescent="0.3">
      <c r="A17" s="1197"/>
      <c r="B17" s="1200"/>
      <c r="C17" s="1200"/>
      <c r="D17" s="1210" t="s">
        <v>408</v>
      </c>
      <c r="E17" s="1211" t="s">
        <v>168</v>
      </c>
      <c r="F17" s="501" t="s">
        <v>57</v>
      </c>
      <c r="G17" s="1202" t="s">
        <v>56</v>
      </c>
      <c r="H17" s="1202"/>
      <c r="I17" s="1202"/>
      <c r="J17" s="1202"/>
      <c r="K17" s="1202"/>
      <c r="L17" s="1202"/>
      <c r="M17" s="977" t="s">
        <v>57</v>
      </c>
      <c r="N17" s="1202" t="s">
        <v>56</v>
      </c>
      <c r="O17" s="1202"/>
      <c r="P17" s="1202"/>
      <c r="Q17" s="1202"/>
      <c r="R17" s="1202"/>
      <c r="S17" s="1212"/>
      <c r="T17" s="501" t="s">
        <v>57</v>
      </c>
      <c r="U17" s="1202" t="s">
        <v>56</v>
      </c>
      <c r="V17" s="1202"/>
      <c r="W17" s="1202"/>
      <c r="X17" s="1202"/>
      <c r="Y17" s="1202"/>
      <c r="Z17" s="1202"/>
      <c r="AA17" s="977" t="s">
        <v>57</v>
      </c>
      <c r="AB17" s="1202" t="s">
        <v>56</v>
      </c>
      <c r="AC17" s="1202"/>
      <c r="AD17" s="1202"/>
      <c r="AE17" s="1202"/>
      <c r="AF17" s="1202"/>
      <c r="AG17" s="1212"/>
      <c r="AH17" s="997" t="s">
        <v>57</v>
      </c>
      <c r="AI17" s="1202" t="s">
        <v>56</v>
      </c>
      <c r="AJ17" s="1202"/>
      <c r="AK17" s="1202"/>
      <c r="AL17" s="1202"/>
      <c r="AM17" s="1202"/>
      <c r="AN17" s="1202"/>
      <c r="AO17" s="489" t="s">
        <v>57</v>
      </c>
      <c r="AP17" s="1202" t="s">
        <v>56</v>
      </c>
      <c r="AQ17" s="1202"/>
      <c r="AR17" s="1202"/>
      <c r="AS17" s="1202"/>
      <c r="AT17" s="1202"/>
      <c r="AU17" s="1212"/>
      <c r="AV17" s="501" t="s">
        <v>57</v>
      </c>
      <c r="AW17" s="1202" t="s">
        <v>56</v>
      </c>
      <c r="AX17" s="1202"/>
      <c r="AY17" s="1202"/>
      <c r="AZ17" s="1202"/>
      <c r="BA17" s="1202"/>
      <c r="BB17" s="1202"/>
      <c r="BC17" s="489" t="s">
        <v>57</v>
      </c>
      <c r="BD17" s="1202" t="s">
        <v>56</v>
      </c>
      <c r="BE17" s="1202"/>
      <c r="BF17" s="1202"/>
      <c r="BG17" s="1202"/>
      <c r="BH17" s="1202"/>
      <c r="BI17" s="1203"/>
      <c r="BJ17" s="501" t="s">
        <v>57</v>
      </c>
      <c r="BK17" s="1202" t="s">
        <v>56</v>
      </c>
      <c r="BL17" s="1202"/>
      <c r="BM17" s="1202"/>
      <c r="BN17" s="1202"/>
      <c r="BO17" s="1202"/>
      <c r="BP17" s="1202"/>
      <c r="BQ17" s="977" t="s">
        <v>57</v>
      </c>
      <c r="BR17" s="1202" t="s">
        <v>56</v>
      </c>
      <c r="BS17" s="1202"/>
      <c r="BT17" s="1202"/>
      <c r="BU17" s="1202"/>
      <c r="BV17" s="1202"/>
      <c r="BW17" s="1212"/>
      <c r="BX17" s="501" t="s">
        <v>57</v>
      </c>
      <c r="BY17" s="1202" t="s">
        <v>56</v>
      </c>
      <c r="BZ17" s="1202"/>
      <c r="CA17" s="1202"/>
      <c r="CB17" s="1202"/>
      <c r="CC17" s="1202"/>
      <c r="CD17" s="1202"/>
      <c r="CE17" s="977" t="s">
        <v>57</v>
      </c>
      <c r="CF17" s="1202" t="s">
        <v>56</v>
      </c>
      <c r="CG17" s="1202"/>
      <c r="CH17" s="1202"/>
      <c r="CI17" s="1202"/>
      <c r="CJ17" s="1202"/>
      <c r="CK17" s="1212"/>
      <c r="CL17" s="501" t="s">
        <v>57</v>
      </c>
      <c r="CM17" s="1202" t="s">
        <v>56</v>
      </c>
      <c r="CN17" s="1202"/>
      <c r="CO17" s="1202"/>
      <c r="CP17" s="1202"/>
      <c r="CQ17" s="1202"/>
      <c r="CR17" s="1202"/>
      <c r="CS17" s="977" t="s">
        <v>57</v>
      </c>
      <c r="CT17" s="1202" t="s">
        <v>56</v>
      </c>
      <c r="CU17" s="1202"/>
      <c r="CV17" s="1202"/>
      <c r="CW17" s="1202"/>
      <c r="CX17" s="1202"/>
      <c r="CY17" s="1212"/>
      <c r="CZ17" s="1215"/>
    </row>
    <row r="18" spans="1:106" ht="66.75" customHeight="1" x14ac:dyDescent="0.3">
      <c r="A18" s="1198"/>
      <c r="B18" s="1201"/>
      <c r="C18" s="1201"/>
      <c r="D18" s="1210"/>
      <c r="E18" s="1211"/>
      <c r="F18" s="502" t="s">
        <v>24</v>
      </c>
      <c r="G18" s="974" t="s">
        <v>24</v>
      </c>
      <c r="H18" s="191" t="s">
        <v>5</v>
      </c>
      <c r="I18" s="191" t="s">
        <v>6</v>
      </c>
      <c r="J18" s="191" t="s">
        <v>268</v>
      </c>
      <c r="K18" s="191" t="s">
        <v>2</v>
      </c>
      <c r="L18" s="191" t="s">
        <v>148</v>
      </c>
      <c r="M18" s="974" t="s">
        <v>24</v>
      </c>
      <c r="N18" s="974" t="s">
        <v>24</v>
      </c>
      <c r="O18" s="191" t="s">
        <v>5</v>
      </c>
      <c r="P18" s="191" t="s">
        <v>6</v>
      </c>
      <c r="Q18" s="191" t="s">
        <v>268</v>
      </c>
      <c r="R18" s="191" t="s">
        <v>2</v>
      </c>
      <c r="S18" s="503" t="s">
        <v>148</v>
      </c>
      <c r="T18" s="502" t="s">
        <v>24</v>
      </c>
      <c r="U18" s="974" t="s">
        <v>24</v>
      </c>
      <c r="V18" s="191" t="s">
        <v>5</v>
      </c>
      <c r="W18" s="191" t="s">
        <v>6</v>
      </c>
      <c r="X18" s="191" t="s">
        <v>268</v>
      </c>
      <c r="Y18" s="191" t="s">
        <v>2</v>
      </c>
      <c r="Z18" s="191" t="s">
        <v>148</v>
      </c>
      <c r="AA18" s="974" t="s">
        <v>24</v>
      </c>
      <c r="AB18" s="974" t="s">
        <v>24</v>
      </c>
      <c r="AC18" s="191" t="s">
        <v>5</v>
      </c>
      <c r="AD18" s="191" t="s">
        <v>6</v>
      </c>
      <c r="AE18" s="191" t="s">
        <v>268</v>
      </c>
      <c r="AF18" s="191" t="s">
        <v>2</v>
      </c>
      <c r="AG18" s="503" t="s">
        <v>148</v>
      </c>
      <c r="AH18" s="998" t="s">
        <v>24</v>
      </c>
      <c r="AI18" s="488" t="s">
        <v>24</v>
      </c>
      <c r="AJ18" s="191" t="s">
        <v>5</v>
      </c>
      <c r="AK18" s="191" t="s">
        <v>6</v>
      </c>
      <c r="AL18" s="191" t="s">
        <v>268</v>
      </c>
      <c r="AM18" s="191" t="s">
        <v>2</v>
      </c>
      <c r="AN18" s="191" t="s">
        <v>148</v>
      </c>
      <c r="AO18" s="488" t="s">
        <v>24</v>
      </c>
      <c r="AP18" s="488" t="s">
        <v>24</v>
      </c>
      <c r="AQ18" s="191" t="s">
        <v>5</v>
      </c>
      <c r="AR18" s="191" t="s">
        <v>6</v>
      </c>
      <c r="AS18" s="191" t="s">
        <v>268</v>
      </c>
      <c r="AT18" s="191" t="s">
        <v>2</v>
      </c>
      <c r="AU18" s="503" t="s">
        <v>148</v>
      </c>
      <c r="AV18" s="502" t="s">
        <v>24</v>
      </c>
      <c r="AW18" s="488" t="s">
        <v>24</v>
      </c>
      <c r="AX18" s="191" t="s">
        <v>5</v>
      </c>
      <c r="AY18" s="191" t="s">
        <v>6</v>
      </c>
      <c r="AZ18" s="191" t="s">
        <v>268</v>
      </c>
      <c r="BA18" s="191" t="s">
        <v>2</v>
      </c>
      <c r="BB18" s="191" t="s">
        <v>148</v>
      </c>
      <c r="BC18" s="488" t="s">
        <v>24</v>
      </c>
      <c r="BD18" s="488" t="s">
        <v>24</v>
      </c>
      <c r="BE18" s="191" t="s">
        <v>5</v>
      </c>
      <c r="BF18" s="191" t="s">
        <v>6</v>
      </c>
      <c r="BG18" s="191" t="s">
        <v>268</v>
      </c>
      <c r="BH18" s="191" t="s">
        <v>2</v>
      </c>
      <c r="BI18" s="494" t="s">
        <v>148</v>
      </c>
      <c r="BJ18" s="502" t="s">
        <v>24</v>
      </c>
      <c r="BK18" s="974" t="s">
        <v>24</v>
      </c>
      <c r="BL18" s="191" t="s">
        <v>5</v>
      </c>
      <c r="BM18" s="191" t="s">
        <v>6</v>
      </c>
      <c r="BN18" s="191" t="s">
        <v>268</v>
      </c>
      <c r="BO18" s="191" t="s">
        <v>2</v>
      </c>
      <c r="BP18" s="191" t="s">
        <v>148</v>
      </c>
      <c r="BQ18" s="974" t="s">
        <v>24</v>
      </c>
      <c r="BR18" s="974" t="s">
        <v>24</v>
      </c>
      <c r="BS18" s="191" t="s">
        <v>5</v>
      </c>
      <c r="BT18" s="191" t="s">
        <v>6</v>
      </c>
      <c r="BU18" s="191" t="s">
        <v>268</v>
      </c>
      <c r="BV18" s="191" t="s">
        <v>2</v>
      </c>
      <c r="BW18" s="503" t="s">
        <v>148</v>
      </c>
      <c r="BX18" s="502" t="s">
        <v>24</v>
      </c>
      <c r="BY18" s="974" t="s">
        <v>24</v>
      </c>
      <c r="BZ18" s="191" t="s">
        <v>5</v>
      </c>
      <c r="CA18" s="191" t="s">
        <v>6</v>
      </c>
      <c r="CB18" s="191" t="s">
        <v>268</v>
      </c>
      <c r="CC18" s="191" t="s">
        <v>2</v>
      </c>
      <c r="CD18" s="191" t="s">
        <v>148</v>
      </c>
      <c r="CE18" s="974" t="s">
        <v>24</v>
      </c>
      <c r="CF18" s="974" t="s">
        <v>24</v>
      </c>
      <c r="CG18" s="191" t="s">
        <v>5</v>
      </c>
      <c r="CH18" s="191" t="s">
        <v>6</v>
      </c>
      <c r="CI18" s="191" t="s">
        <v>268</v>
      </c>
      <c r="CJ18" s="191" t="s">
        <v>2</v>
      </c>
      <c r="CK18" s="503" t="s">
        <v>148</v>
      </c>
      <c r="CL18" s="502" t="s">
        <v>24</v>
      </c>
      <c r="CM18" s="974" t="s">
        <v>24</v>
      </c>
      <c r="CN18" s="191" t="s">
        <v>5</v>
      </c>
      <c r="CO18" s="191" t="s">
        <v>6</v>
      </c>
      <c r="CP18" s="191" t="s">
        <v>268</v>
      </c>
      <c r="CQ18" s="191" t="s">
        <v>2</v>
      </c>
      <c r="CR18" s="191" t="s">
        <v>148</v>
      </c>
      <c r="CS18" s="974" t="s">
        <v>24</v>
      </c>
      <c r="CT18" s="974" t="s">
        <v>24</v>
      </c>
      <c r="CU18" s="191" t="s">
        <v>5</v>
      </c>
      <c r="CV18" s="191" t="s">
        <v>6</v>
      </c>
      <c r="CW18" s="191" t="s">
        <v>268</v>
      </c>
      <c r="CX18" s="191" t="s">
        <v>2</v>
      </c>
      <c r="CY18" s="503" t="s">
        <v>148</v>
      </c>
      <c r="CZ18" s="1216"/>
    </row>
    <row r="19" spans="1:106" x14ac:dyDescent="0.3">
      <c r="A19" s="1032">
        <v>1</v>
      </c>
      <c r="B19" s="975">
        <v>2</v>
      </c>
      <c r="C19" s="975">
        <v>3</v>
      </c>
      <c r="D19" s="975">
        <v>4</v>
      </c>
      <c r="E19" s="976">
        <v>5</v>
      </c>
      <c r="F19" s="504" t="s">
        <v>251</v>
      </c>
      <c r="G19" s="193" t="s">
        <v>252</v>
      </c>
      <c r="H19" s="193" t="s">
        <v>253</v>
      </c>
      <c r="I19" s="193" t="s">
        <v>254</v>
      </c>
      <c r="J19" s="193" t="s">
        <v>255</v>
      </c>
      <c r="K19" s="193" t="s">
        <v>256</v>
      </c>
      <c r="L19" s="193" t="s">
        <v>257</v>
      </c>
      <c r="M19" s="193" t="s">
        <v>258</v>
      </c>
      <c r="N19" s="193" t="s">
        <v>259</v>
      </c>
      <c r="O19" s="193" t="s">
        <v>260</v>
      </c>
      <c r="P19" s="193" t="s">
        <v>261</v>
      </c>
      <c r="Q19" s="193" t="s">
        <v>262</v>
      </c>
      <c r="R19" s="193" t="s">
        <v>263</v>
      </c>
      <c r="S19" s="505" t="s">
        <v>264</v>
      </c>
      <c r="T19" s="504" t="s">
        <v>297</v>
      </c>
      <c r="U19" s="193" t="s">
        <v>298</v>
      </c>
      <c r="V19" s="193" t="s">
        <v>299</v>
      </c>
      <c r="W19" s="193" t="s">
        <v>300</v>
      </c>
      <c r="X19" s="193" t="s">
        <v>301</v>
      </c>
      <c r="Y19" s="193" t="s">
        <v>302</v>
      </c>
      <c r="Z19" s="193" t="s">
        <v>303</v>
      </c>
      <c r="AA19" s="193" t="s">
        <v>304</v>
      </c>
      <c r="AB19" s="193" t="s">
        <v>305</v>
      </c>
      <c r="AC19" s="193" t="s">
        <v>306</v>
      </c>
      <c r="AD19" s="193" t="s">
        <v>307</v>
      </c>
      <c r="AE19" s="193" t="s">
        <v>308</v>
      </c>
      <c r="AF19" s="193" t="s">
        <v>309</v>
      </c>
      <c r="AG19" s="505" t="s">
        <v>310</v>
      </c>
      <c r="AH19" s="499" t="s">
        <v>457</v>
      </c>
      <c r="AI19" s="193" t="s">
        <v>458</v>
      </c>
      <c r="AJ19" s="193" t="s">
        <v>459</v>
      </c>
      <c r="AK19" s="193" t="s">
        <v>460</v>
      </c>
      <c r="AL19" s="193" t="s">
        <v>461</v>
      </c>
      <c r="AM19" s="193" t="s">
        <v>462</v>
      </c>
      <c r="AN19" s="193" t="s">
        <v>463</v>
      </c>
      <c r="AO19" s="193" t="s">
        <v>464</v>
      </c>
      <c r="AP19" s="193" t="s">
        <v>465</v>
      </c>
      <c r="AQ19" s="193" t="s">
        <v>466</v>
      </c>
      <c r="AR19" s="193" t="s">
        <v>467</v>
      </c>
      <c r="AS19" s="193" t="s">
        <v>468</v>
      </c>
      <c r="AT19" s="193" t="s">
        <v>469</v>
      </c>
      <c r="AU19" s="505" t="s">
        <v>470</v>
      </c>
      <c r="AV19" s="504" t="s">
        <v>471</v>
      </c>
      <c r="AW19" s="193" t="s">
        <v>472</v>
      </c>
      <c r="AX19" s="193" t="s">
        <v>473</v>
      </c>
      <c r="AY19" s="193" t="s">
        <v>474</v>
      </c>
      <c r="AZ19" s="193" t="s">
        <v>475</v>
      </c>
      <c r="BA19" s="193" t="s">
        <v>476</v>
      </c>
      <c r="BB19" s="193" t="s">
        <v>477</v>
      </c>
      <c r="BC19" s="193" t="s">
        <v>478</v>
      </c>
      <c r="BD19" s="193" t="s">
        <v>479</v>
      </c>
      <c r="BE19" s="193" t="s">
        <v>480</v>
      </c>
      <c r="BF19" s="193" t="s">
        <v>481</v>
      </c>
      <c r="BG19" s="193" t="s">
        <v>482</v>
      </c>
      <c r="BH19" s="193" t="s">
        <v>483</v>
      </c>
      <c r="BI19" s="495" t="s">
        <v>484</v>
      </c>
      <c r="BJ19" s="504" t="s">
        <v>471</v>
      </c>
      <c r="BK19" s="193" t="s">
        <v>472</v>
      </c>
      <c r="BL19" s="193" t="s">
        <v>473</v>
      </c>
      <c r="BM19" s="193" t="s">
        <v>474</v>
      </c>
      <c r="BN19" s="193" t="s">
        <v>475</v>
      </c>
      <c r="BO19" s="193" t="s">
        <v>476</v>
      </c>
      <c r="BP19" s="193" t="s">
        <v>477</v>
      </c>
      <c r="BQ19" s="193" t="s">
        <v>478</v>
      </c>
      <c r="BR19" s="193" t="s">
        <v>479</v>
      </c>
      <c r="BS19" s="193" t="s">
        <v>480</v>
      </c>
      <c r="BT19" s="193" t="s">
        <v>481</v>
      </c>
      <c r="BU19" s="193" t="s">
        <v>482</v>
      </c>
      <c r="BV19" s="193" t="s">
        <v>483</v>
      </c>
      <c r="BW19" s="505" t="s">
        <v>484</v>
      </c>
      <c r="BX19" s="504" t="s">
        <v>471</v>
      </c>
      <c r="BY19" s="193" t="s">
        <v>472</v>
      </c>
      <c r="BZ19" s="193" t="s">
        <v>473</v>
      </c>
      <c r="CA19" s="193" t="s">
        <v>474</v>
      </c>
      <c r="CB19" s="193" t="s">
        <v>475</v>
      </c>
      <c r="CC19" s="193" t="s">
        <v>476</v>
      </c>
      <c r="CD19" s="193" t="s">
        <v>477</v>
      </c>
      <c r="CE19" s="193" t="s">
        <v>478</v>
      </c>
      <c r="CF19" s="193" t="s">
        <v>479</v>
      </c>
      <c r="CG19" s="193" t="s">
        <v>480</v>
      </c>
      <c r="CH19" s="193" t="s">
        <v>481</v>
      </c>
      <c r="CI19" s="193" t="s">
        <v>482</v>
      </c>
      <c r="CJ19" s="193" t="s">
        <v>483</v>
      </c>
      <c r="CK19" s="505" t="s">
        <v>484</v>
      </c>
      <c r="CL19" s="504" t="s">
        <v>485</v>
      </c>
      <c r="CM19" s="193" t="s">
        <v>486</v>
      </c>
      <c r="CN19" s="193" t="s">
        <v>487</v>
      </c>
      <c r="CO19" s="193" t="s">
        <v>488</v>
      </c>
      <c r="CP19" s="193" t="s">
        <v>489</v>
      </c>
      <c r="CQ19" s="193" t="s">
        <v>490</v>
      </c>
      <c r="CR19" s="193" t="s">
        <v>491</v>
      </c>
      <c r="CS19" s="193" t="s">
        <v>492</v>
      </c>
      <c r="CT19" s="193" t="s">
        <v>493</v>
      </c>
      <c r="CU19" s="193" t="s">
        <v>494</v>
      </c>
      <c r="CV19" s="193" t="s">
        <v>495</v>
      </c>
      <c r="CW19" s="193" t="s">
        <v>496</v>
      </c>
      <c r="CX19" s="193" t="s">
        <v>497</v>
      </c>
      <c r="CY19" s="505" t="s">
        <v>498</v>
      </c>
      <c r="CZ19" s="499" t="s">
        <v>124</v>
      </c>
    </row>
    <row r="20" spans="1:106" s="195" customFormat="1" ht="34.5" customHeight="1" x14ac:dyDescent="0.25">
      <c r="A20" s="1033" t="s">
        <v>711</v>
      </c>
      <c r="B20" s="148" t="s">
        <v>684</v>
      </c>
      <c r="C20" s="243" t="s">
        <v>621</v>
      </c>
      <c r="D20" s="244">
        <v>418.9</v>
      </c>
      <c r="E20" s="1004">
        <f>E21</f>
        <v>433.96</v>
      </c>
      <c r="F20" s="1010" t="s">
        <v>621</v>
      </c>
      <c r="G20" s="243" t="s">
        <v>621</v>
      </c>
      <c r="H20" s="243" t="s">
        <v>621</v>
      </c>
      <c r="I20" s="243" t="s">
        <v>621</v>
      </c>
      <c r="J20" s="243" t="s">
        <v>621</v>
      </c>
      <c r="K20" s="243" t="s">
        <v>621</v>
      </c>
      <c r="L20" s="243" t="s">
        <v>621</v>
      </c>
      <c r="M20" s="243" t="s">
        <v>621</v>
      </c>
      <c r="N20" s="243" t="s">
        <v>621</v>
      </c>
      <c r="O20" s="243" t="s">
        <v>621</v>
      </c>
      <c r="P20" s="243" t="s">
        <v>621</v>
      </c>
      <c r="Q20" s="243" t="s">
        <v>621</v>
      </c>
      <c r="R20" s="243" t="s">
        <v>621</v>
      </c>
      <c r="S20" s="507" t="s">
        <v>621</v>
      </c>
      <c r="T20" s="506" t="s">
        <v>621</v>
      </c>
      <c r="U20" s="244">
        <f>U21</f>
        <v>60.49</v>
      </c>
      <c r="V20" s="243">
        <f>V21</f>
        <v>1.6</v>
      </c>
      <c r="W20" s="243" t="s">
        <v>621</v>
      </c>
      <c r="X20" s="254">
        <v>4.6820000000000004</v>
      </c>
      <c r="Y20" s="243" t="s">
        <v>621</v>
      </c>
      <c r="Z20" s="243">
        <f>Z21</f>
        <v>28</v>
      </c>
      <c r="AA20" s="243" t="s">
        <v>621</v>
      </c>
      <c r="AB20" s="244">
        <f>U20</f>
        <v>60.49</v>
      </c>
      <c r="AC20" s="243">
        <f>AC21</f>
        <v>1.6</v>
      </c>
      <c r="AD20" s="243" t="s">
        <v>621</v>
      </c>
      <c r="AE20" s="255">
        <f>AE21</f>
        <v>11.641999999999999</v>
      </c>
      <c r="AF20" s="243" t="s">
        <v>621</v>
      </c>
      <c r="AG20" s="507">
        <f>AG21</f>
        <v>28</v>
      </c>
      <c r="AH20" s="999" t="s">
        <v>621</v>
      </c>
      <c r="AI20" s="244">
        <v>99.44</v>
      </c>
      <c r="AJ20" s="243">
        <f>AJ21</f>
        <v>0.8</v>
      </c>
      <c r="AK20" s="243" t="s">
        <v>621</v>
      </c>
      <c r="AL20" s="255">
        <f>AL21</f>
        <v>6.32</v>
      </c>
      <c r="AM20" s="243" t="s">
        <v>621</v>
      </c>
      <c r="AN20" s="243">
        <v>2783</v>
      </c>
      <c r="AO20" s="243" t="str">
        <f t="shared" ref="AO20:AO25" si="0">AH20</f>
        <v>нд</v>
      </c>
      <c r="AP20" s="244">
        <f>AP21</f>
        <v>102.26</v>
      </c>
      <c r="AQ20" s="243">
        <f>AQ21</f>
        <v>0</v>
      </c>
      <c r="AR20" s="243" t="s">
        <v>621</v>
      </c>
      <c r="AS20" s="243">
        <f>AS21</f>
        <v>19.243400000000001</v>
      </c>
      <c r="AT20" s="243" t="s">
        <v>621</v>
      </c>
      <c r="AU20" s="507">
        <f>AU21</f>
        <v>2786</v>
      </c>
      <c r="AV20" s="506" t="s">
        <v>621</v>
      </c>
      <c r="AW20" s="567">
        <f>AW21</f>
        <v>83.22</v>
      </c>
      <c r="AX20" s="243">
        <v>2.06</v>
      </c>
      <c r="AY20" s="243" t="s">
        <v>621</v>
      </c>
      <c r="AZ20" s="255">
        <v>3.875</v>
      </c>
      <c r="BA20" s="243" t="s">
        <v>621</v>
      </c>
      <c r="BB20" s="243">
        <v>2696</v>
      </c>
      <c r="BC20" s="243" t="str">
        <f t="shared" ref="BC20:BC25" si="1">AV20</f>
        <v>нд</v>
      </c>
      <c r="BD20" s="243">
        <f>BD21</f>
        <v>84.99</v>
      </c>
      <c r="BE20" s="243">
        <f>BE21</f>
        <v>1.26</v>
      </c>
      <c r="BF20" s="243" t="s">
        <v>621</v>
      </c>
      <c r="BG20" s="243">
        <f>BG21</f>
        <v>8.2680000000000007</v>
      </c>
      <c r="BH20" s="243" t="s">
        <v>621</v>
      </c>
      <c r="BI20" s="496" t="e">
        <f>BI21</f>
        <v>#VALUE!</v>
      </c>
      <c r="BJ20" s="506" t="s">
        <v>621</v>
      </c>
      <c r="BK20" s="567">
        <v>84.56</v>
      </c>
      <c r="BL20" s="243">
        <v>6.87</v>
      </c>
      <c r="BM20" s="243" t="s">
        <v>621</v>
      </c>
      <c r="BN20" s="255">
        <v>4.8949999999999996</v>
      </c>
      <c r="BO20" s="243" t="s">
        <v>621</v>
      </c>
      <c r="BP20" s="243">
        <v>2941</v>
      </c>
      <c r="BQ20" s="243" t="s">
        <v>621</v>
      </c>
      <c r="BR20" s="243">
        <f>BR21</f>
        <v>84.56</v>
      </c>
      <c r="BS20" s="243">
        <f>BS21</f>
        <v>6.87</v>
      </c>
      <c r="BT20" s="243" t="s">
        <v>621</v>
      </c>
      <c r="BU20" s="243">
        <f>BU21</f>
        <v>4.8949999999999996</v>
      </c>
      <c r="BV20" s="243" t="s">
        <v>621</v>
      </c>
      <c r="BW20" s="507">
        <f>BW21</f>
        <v>2941</v>
      </c>
      <c r="BX20" s="506" t="s">
        <v>621</v>
      </c>
      <c r="BY20" s="567">
        <v>91.2</v>
      </c>
      <c r="BZ20" s="243" t="s">
        <v>621</v>
      </c>
      <c r="CA20" s="243" t="s">
        <v>621</v>
      </c>
      <c r="CB20" s="255">
        <v>3.1389999999999998</v>
      </c>
      <c r="CC20" s="243" t="s">
        <v>621</v>
      </c>
      <c r="CD20" s="496">
        <v>2860</v>
      </c>
      <c r="CE20" s="244" t="s">
        <v>621</v>
      </c>
      <c r="CF20" s="243">
        <f>CF21</f>
        <v>91.2</v>
      </c>
      <c r="CG20" s="243" t="s">
        <v>621</v>
      </c>
      <c r="CH20" s="243" t="s">
        <v>621</v>
      </c>
      <c r="CI20" s="243">
        <f>CI21</f>
        <v>3.1389999999999998</v>
      </c>
      <c r="CJ20" s="243" t="s">
        <v>621</v>
      </c>
      <c r="CK20" s="507">
        <f>CK21</f>
        <v>2860</v>
      </c>
      <c r="CL20" s="506" t="s">
        <v>621</v>
      </c>
      <c r="CM20" s="567">
        <v>418.9</v>
      </c>
      <c r="CN20" s="243">
        <v>11.33</v>
      </c>
      <c r="CO20" s="243" t="s">
        <v>621</v>
      </c>
      <c r="CP20" s="255">
        <v>22.911000000000001</v>
      </c>
      <c r="CQ20" s="243" t="s">
        <v>621</v>
      </c>
      <c r="CR20" s="243">
        <v>11308</v>
      </c>
      <c r="CS20" s="506" t="s">
        <v>621</v>
      </c>
      <c r="CT20" s="244">
        <f>CT21</f>
        <v>433.96</v>
      </c>
      <c r="CU20" s="243">
        <f>CU21</f>
        <v>9.73</v>
      </c>
      <c r="CV20" s="243" t="s">
        <v>621</v>
      </c>
      <c r="CW20" s="243">
        <f>CW21</f>
        <v>35.384</v>
      </c>
      <c r="CX20" s="243" t="s">
        <v>621</v>
      </c>
      <c r="CY20" s="507">
        <f>CY21</f>
        <v>11314</v>
      </c>
      <c r="CZ20" s="513" t="s">
        <v>621</v>
      </c>
    </row>
    <row r="21" spans="1:106" s="183" customFormat="1" ht="40.5" x14ac:dyDescent="0.25">
      <c r="A21" s="1034" t="s">
        <v>713</v>
      </c>
      <c r="B21" s="173" t="s">
        <v>686</v>
      </c>
      <c r="C21" s="245" t="s">
        <v>621</v>
      </c>
      <c r="D21" s="246">
        <v>418.9</v>
      </c>
      <c r="E21" s="1003">
        <f>E22</f>
        <v>433.96</v>
      </c>
      <c r="F21" s="512" t="s">
        <v>621</v>
      </c>
      <c r="G21" s="245" t="s">
        <v>621</v>
      </c>
      <c r="H21" s="245" t="s">
        <v>621</v>
      </c>
      <c r="I21" s="245" t="s">
        <v>621</v>
      </c>
      <c r="J21" s="245" t="s">
        <v>621</v>
      </c>
      <c r="K21" s="245" t="s">
        <v>621</v>
      </c>
      <c r="L21" s="245" t="s">
        <v>621</v>
      </c>
      <c r="M21" s="245" t="s">
        <v>621</v>
      </c>
      <c r="N21" s="245" t="s">
        <v>621</v>
      </c>
      <c r="O21" s="245" t="s">
        <v>621</v>
      </c>
      <c r="P21" s="245" t="s">
        <v>621</v>
      </c>
      <c r="Q21" s="245" t="s">
        <v>621</v>
      </c>
      <c r="R21" s="245" t="s">
        <v>621</v>
      </c>
      <c r="S21" s="509" t="s">
        <v>621</v>
      </c>
      <c r="T21" s="508" t="s">
        <v>621</v>
      </c>
      <c r="U21" s="246">
        <f>U22</f>
        <v>60.49</v>
      </c>
      <c r="V21" s="245">
        <f>V22</f>
        <v>1.6</v>
      </c>
      <c r="W21" s="245" t="s">
        <v>621</v>
      </c>
      <c r="X21" s="256">
        <v>4.6820000000000004</v>
      </c>
      <c r="Y21" s="245" t="s">
        <v>621</v>
      </c>
      <c r="Z21" s="245">
        <f>Z22</f>
        <v>28</v>
      </c>
      <c r="AA21" s="245" t="s">
        <v>621</v>
      </c>
      <c r="AB21" s="246">
        <f>U21</f>
        <v>60.49</v>
      </c>
      <c r="AC21" s="245">
        <f>AC22</f>
        <v>1.6</v>
      </c>
      <c r="AD21" s="245" t="s">
        <v>621</v>
      </c>
      <c r="AE21" s="257">
        <f>AE22</f>
        <v>11.641999999999999</v>
      </c>
      <c r="AF21" s="245" t="s">
        <v>621</v>
      </c>
      <c r="AG21" s="509">
        <f>AG22</f>
        <v>28</v>
      </c>
      <c r="AH21" s="1000" t="s">
        <v>621</v>
      </c>
      <c r="AI21" s="246">
        <v>99.44</v>
      </c>
      <c r="AJ21" s="245">
        <f>AJ22</f>
        <v>0.8</v>
      </c>
      <c r="AK21" s="245" t="s">
        <v>621</v>
      </c>
      <c r="AL21" s="257">
        <f>AL22</f>
        <v>6.32</v>
      </c>
      <c r="AM21" s="245" t="s">
        <v>621</v>
      </c>
      <c r="AN21" s="245">
        <v>2783</v>
      </c>
      <c r="AO21" s="245" t="str">
        <f t="shared" si="0"/>
        <v>нд</v>
      </c>
      <c r="AP21" s="246">
        <f>AP22</f>
        <v>102.26</v>
      </c>
      <c r="AQ21" s="245">
        <f>AQ22</f>
        <v>0</v>
      </c>
      <c r="AR21" s="245" t="s">
        <v>621</v>
      </c>
      <c r="AS21" s="245">
        <f>AS22</f>
        <v>19.243400000000001</v>
      </c>
      <c r="AT21" s="245" t="s">
        <v>621</v>
      </c>
      <c r="AU21" s="509">
        <f>AU22</f>
        <v>2786</v>
      </c>
      <c r="AV21" s="508" t="s">
        <v>621</v>
      </c>
      <c r="AW21" s="568">
        <v>83.22</v>
      </c>
      <c r="AX21" s="245">
        <v>2.06</v>
      </c>
      <c r="AY21" s="245" t="s">
        <v>621</v>
      </c>
      <c r="AZ21" s="257">
        <v>3.875</v>
      </c>
      <c r="BA21" s="245" t="s">
        <v>621</v>
      </c>
      <c r="BB21" s="245">
        <v>2696</v>
      </c>
      <c r="BC21" s="245" t="str">
        <f t="shared" si="1"/>
        <v>нд</v>
      </c>
      <c r="BD21" s="245">
        <f>BD22</f>
        <v>84.99</v>
      </c>
      <c r="BE21" s="245">
        <f>BE22</f>
        <v>1.26</v>
      </c>
      <c r="BF21" s="245" t="s">
        <v>621</v>
      </c>
      <c r="BG21" s="245">
        <f>BG22</f>
        <v>8.2680000000000007</v>
      </c>
      <c r="BH21" s="245" t="s">
        <v>621</v>
      </c>
      <c r="BI21" s="497" t="e">
        <f>BI22</f>
        <v>#VALUE!</v>
      </c>
      <c r="BJ21" s="508" t="s">
        <v>621</v>
      </c>
      <c r="BK21" s="568">
        <v>84.56</v>
      </c>
      <c r="BL21" s="245">
        <v>6.87</v>
      </c>
      <c r="BM21" s="245" t="s">
        <v>621</v>
      </c>
      <c r="BN21" s="257">
        <v>4.8949999999999996</v>
      </c>
      <c r="BO21" s="245" t="s">
        <v>621</v>
      </c>
      <c r="BP21" s="245">
        <v>2941</v>
      </c>
      <c r="BQ21" s="245" t="s">
        <v>621</v>
      </c>
      <c r="BR21" s="245">
        <f>BR22</f>
        <v>84.56</v>
      </c>
      <c r="BS21" s="245">
        <f>BS22</f>
        <v>6.87</v>
      </c>
      <c r="BT21" s="245" t="s">
        <v>621</v>
      </c>
      <c r="BU21" s="245">
        <f>BU22</f>
        <v>4.8949999999999996</v>
      </c>
      <c r="BV21" s="245" t="s">
        <v>621</v>
      </c>
      <c r="BW21" s="509">
        <f>BW22</f>
        <v>2941</v>
      </c>
      <c r="BX21" s="508" t="s">
        <v>621</v>
      </c>
      <c r="BY21" s="568">
        <v>91.2</v>
      </c>
      <c r="BZ21" s="245" t="s">
        <v>621</v>
      </c>
      <c r="CA21" s="245" t="s">
        <v>621</v>
      </c>
      <c r="CB21" s="257">
        <v>3.1389999999999998</v>
      </c>
      <c r="CC21" s="245" t="s">
        <v>621</v>
      </c>
      <c r="CD21" s="497">
        <v>2860</v>
      </c>
      <c r="CE21" s="246" t="s">
        <v>621</v>
      </c>
      <c r="CF21" s="245">
        <f>CF22</f>
        <v>91.2</v>
      </c>
      <c r="CG21" s="245" t="s">
        <v>621</v>
      </c>
      <c r="CH21" s="245" t="s">
        <v>621</v>
      </c>
      <c r="CI21" s="245">
        <f>CI22</f>
        <v>3.1389999999999998</v>
      </c>
      <c r="CJ21" s="245" t="s">
        <v>621</v>
      </c>
      <c r="CK21" s="509">
        <f>CK22</f>
        <v>2860</v>
      </c>
      <c r="CL21" s="508" t="s">
        <v>621</v>
      </c>
      <c r="CM21" s="568">
        <v>418.9</v>
      </c>
      <c r="CN21" s="245">
        <v>11.33</v>
      </c>
      <c r="CO21" s="245" t="s">
        <v>621</v>
      </c>
      <c r="CP21" s="257">
        <v>22.911000000000001</v>
      </c>
      <c r="CQ21" s="245" t="s">
        <v>621</v>
      </c>
      <c r="CR21" s="245">
        <v>11308</v>
      </c>
      <c r="CS21" s="508" t="s">
        <v>621</v>
      </c>
      <c r="CT21" s="246">
        <f>E21</f>
        <v>433.96</v>
      </c>
      <c r="CU21" s="245">
        <f>CU22</f>
        <v>9.73</v>
      </c>
      <c r="CV21" s="245" t="s">
        <v>621</v>
      </c>
      <c r="CW21" s="245">
        <f>CW22</f>
        <v>35.384</v>
      </c>
      <c r="CX21" s="245" t="s">
        <v>621</v>
      </c>
      <c r="CY21" s="509">
        <f>CY22</f>
        <v>11314</v>
      </c>
      <c r="CZ21" s="500" t="s">
        <v>621</v>
      </c>
    </row>
    <row r="22" spans="1:106" s="183" customFormat="1" ht="33.75" customHeight="1" x14ac:dyDescent="0.25">
      <c r="A22" s="1035" t="s">
        <v>537</v>
      </c>
      <c r="B22" s="968" t="s">
        <v>691</v>
      </c>
      <c r="C22" s="245" t="s">
        <v>621</v>
      </c>
      <c r="D22" s="246">
        <v>418.9</v>
      </c>
      <c r="E22" s="1003">
        <f>E23+E50+E53+E75</f>
        <v>433.96</v>
      </c>
      <c r="F22" s="512" t="s">
        <v>621</v>
      </c>
      <c r="G22" s="245" t="s">
        <v>621</v>
      </c>
      <c r="H22" s="245" t="s">
        <v>621</v>
      </c>
      <c r="I22" s="245" t="s">
        <v>621</v>
      </c>
      <c r="J22" s="245" t="s">
        <v>621</v>
      </c>
      <c r="K22" s="245" t="s">
        <v>621</v>
      </c>
      <c r="L22" s="245" t="s">
        <v>621</v>
      </c>
      <c r="M22" s="245" t="s">
        <v>621</v>
      </c>
      <c r="N22" s="245" t="s">
        <v>621</v>
      </c>
      <c r="O22" s="245" t="s">
        <v>621</v>
      </c>
      <c r="P22" s="245" t="s">
        <v>621</v>
      </c>
      <c r="Q22" s="245" t="s">
        <v>621</v>
      </c>
      <c r="R22" s="245" t="s">
        <v>621</v>
      </c>
      <c r="S22" s="509" t="s">
        <v>621</v>
      </c>
      <c r="T22" s="508" t="s">
        <v>621</v>
      </c>
      <c r="U22" s="246">
        <f>U23+U54</f>
        <v>60.49</v>
      </c>
      <c r="V22" s="245">
        <f>V53</f>
        <v>1.6</v>
      </c>
      <c r="W22" s="245" t="s">
        <v>621</v>
      </c>
      <c r="X22" s="257">
        <v>4.6820000000000004</v>
      </c>
      <c r="Y22" s="245" t="s">
        <v>621</v>
      </c>
      <c r="Z22" s="245">
        <f>Z53</f>
        <v>28</v>
      </c>
      <c r="AA22" s="245" t="s">
        <v>621</v>
      </c>
      <c r="AB22" s="246">
        <f>U22</f>
        <v>60.49</v>
      </c>
      <c r="AC22" s="245">
        <f>AC53</f>
        <v>1.6</v>
      </c>
      <c r="AD22" s="245" t="s">
        <v>621</v>
      </c>
      <c r="AE22" s="257">
        <f>AE23</f>
        <v>11.641999999999999</v>
      </c>
      <c r="AF22" s="245" t="s">
        <v>621</v>
      </c>
      <c r="AG22" s="509">
        <f>AG53</f>
        <v>28</v>
      </c>
      <c r="AH22" s="1000" t="s">
        <v>621</v>
      </c>
      <c r="AI22" s="246">
        <v>99.44</v>
      </c>
      <c r="AJ22" s="245">
        <f>AJ53</f>
        <v>0.8</v>
      </c>
      <c r="AK22" s="245" t="s">
        <v>621</v>
      </c>
      <c r="AL22" s="257">
        <f>AL23</f>
        <v>6.32</v>
      </c>
      <c r="AM22" s="245" t="s">
        <v>621</v>
      </c>
      <c r="AN22" s="245">
        <v>2783</v>
      </c>
      <c r="AO22" s="245" t="str">
        <f t="shared" si="0"/>
        <v>нд</v>
      </c>
      <c r="AP22" s="246">
        <f>AP23+AP50+AP53+AP75</f>
        <v>102.26</v>
      </c>
      <c r="AQ22" s="245">
        <f>0</f>
        <v>0</v>
      </c>
      <c r="AR22" s="245" t="s">
        <v>621</v>
      </c>
      <c r="AS22" s="245">
        <f>AS23</f>
        <v>19.243400000000001</v>
      </c>
      <c r="AT22" s="245" t="s">
        <v>621</v>
      </c>
      <c r="AU22" s="570">
        <f>AU50+AU53+AU75</f>
        <v>2786</v>
      </c>
      <c r="AV22" s="508" t="s">
        <v>621</v>
      </c>
      <c r="AW22" s="568">
        <v>83.22</v>
      </c>
      <c r="AX22" s="245">
        <v>2.06</v>
      </c>
      <c r="AY22" s="245" t="s">
        <v>621</v>
      </c>
      <c r="AZ22" s="257">
        <v>3.875</v>
      </c>
      <c r="BA22" s="245" t="s">
        <v>621</v>
      </c>
      <c r="BB22" s="245">
        <v>2696</v>
      </c>
      <c r="BC22" s="245" t="str">
        <f t="shared" si="1"/>
        <v>нд</v>
      </c>
      <c r="BD22" s="246">
        <f>BD23+BD53+BD50</f>
        <v>84.99</v>
      </c>
      <c r="BE22" s="245">
        <f>BE53</f>
        <v>1.26</v>
      </c>
      <c r="BF22" s="245" t="s">
        <v>621</v>
      </c>
      <c r="BG22" s="245">
        <f>BG23</f>
        <v>8.2680000000000007</v>
      </c>
      <c r="BH22" s="245" t="s">
        <v>621</v>
      </c>
      <c r="BI22" s="1008" t="e">
        <f>BI53+BI50+BI75</f>
        <v>#VALUE!</v>
      </c>
      <c r="BJ22" s="508" t="s">
        <v>621</v>
      </c>
      <c r="BK22" s="568">
        <v>84.56</v>
      </c>
      <c r="BL22" s="245">
        <v>6.87</v>
      </c>
      <c r="BM22" s="245" t="s">
        <v>621</v>
      </c>
      <c r="BN22" s="257">
        <v>4.8949999999999996</v>
      </c>
      <c r="BO22" s="245" t="s">
        <v>621</v>
      </c>
      <c r="BP22" s="245">
        <v>2941</v>
      </c>
      <c r="BQ22" s="245" t="s">
        <v>621</v>
      </c>
      <c r="BR22" s="246">
        <f>BR23+BR50+BR53</f>
        <v>84.56</v>
      </c>
      <c r="BS22" s="245">
        <f>BS53</f>
        <v>6.87</v>
      </c>
      <c r="BT22" s="245" t="s">
        <v>621</v>
      </c>
      <c r="BU22" s="245">
        <f>BU23</f>
        <v>4.8949999999999996</v>
      </c>
      <c r="BV22" s="245" t="s">
        <v>621</v>
      </c>
      <c r="BW22" s="570">
        <f>BW50</f>
        <v>2941</v>
      </c>
      <c r="BX22" s="508" t="s">
        <v>621</v>
      </c>
      <c r="BY22" s="568">
        <v>91.2</v>
      </c>
      <c r="BZ22" s="245" t="s">
        <v>621</v>
      </c>
      <c r="CA22" s="245" t="s">
        <v>621</v>
      </c>
      <c r="CB22" s="257">
        <v>3.1389999999999998</v>
      </c>
      <c r="CC22" s="245" t="s">
        <v>621</v>
      </c>
      <c r="CD22" s="497">
        <v>2860</v>
      </c>
      <c r="CE22" s="246" t="s">
        <v>621</v>
      </c>
      <c r="CF22" s="246">
        <f>CF23+CF53+CF50</f>
        <v>91.2</v>
      </c>
      <c r="CG22" s="245" t="s">
        <v>621</v>
      </c>
      <c r="CH22" s="245" t="s">
        <v>621</v>
      </c>
      <c r="CI22" s="245">
        <f>CI23</f>
        <v>3.1389999999999998</v>
      </c>
      <c r="CJ22" s="245" t="s">
        <v>621</v>
      </c>
      <c r="CK22" s="570">
        <f>CK53+CK50</f>
        <v>2860</v>
      </c>
      <c r="CL22" s="508" t="s">
        <v>621</v>
      </c>
      <c r="CM22" s="568">
        <v>418.9</v>
      </c>
      <c r="CN22" s="245">
        <v>11.33</v>
      </c>
      <c r="CO22" s="245" t="s">
        <v>621</v>
      </c>
      <c r="CP22" s="257">
        <v>22.911000000000001</v>
      </c>
      <c r="CQ22" s="245" t="s">
        <v>621</v>
      </c>
      <c r="CR22" s="245">
        <v>11308</v>
      </c>
      <c r="CS22" s="508" t="s">
        <v>621</v>
      </c>
      <c r="CT22" s="246">
        <f>CT23+CT50+CT53+CT75</f>
        <v>433.96</v>
      </c>
      <c r="CU22" s="245">
        <f>CU53</f>
        <v>9.73</v>
      </c>
      <c r="CV22" s="245" t="s">
        <v>621</v>
      </c>
      <c r="CW22" s="245">
        <f>CW23</f>
        <v>35.384</v>
      </c>
      <c r="CX22" s="245" t="s">
        <v>621</v>
      </c>
      <c r="CY22" s="509">
        <f>CY53+CY50+CY75</f>
        <v>11314</v>
      </c>
      <c r="CZ22" s="500" t="s">
        <v>621</v>
      </c>
    </row>
    <row r="23" spans="1:106" s="195" customFormat="1" ht="60.75" x14ac:dyDescent="0.25">
      <c r="A23" s="1036" t="s">
        <v>545</v>
      </c>
      <c r="B23" s="175" t="s">
        <v>697</v>
      </c>
      <c r="C23" s="247" t="s">
        <v>621</v>
      </c>
      <c r="D23" s="248">
        <v>152.28</v>
      </c>
      <c r="E23" s="1037">
        <f>E24</f>
        <v>175.11</v>
      </c>
      <c r="F23" s="1029" t="s">
        <v>621</v>
      </c>
      <c r="G23" s="247" t="s">
        <v>621</v>
      </c>
      <c r="H23" s="247" t="s">
        <v>621</v>
      </c>
      <c r="I23" s="247" t="s">
        <v>621</v>
      </c>
      <c r="J23" s="247" t="s">
        <v>621</v>
      </c>
      <c r="K23" s="247" t="s">
        <v>621</v>
      </c>
      <c r="L23" s="247" t="s">
        <v>621</v>
      </c>
      <c r="M23" s="247" t="s">
        <v>621</v>
      </c>
      <c r="N23" s="247" t="s">
        <v>621</v>
      </c>
      <c r="O23" s="247" t="s">
        <v>621</v>
      </c>
      <c r="P23" s="247" t="s">
        <v>621</v>
      </c>
      <c r="Q23" s="247" t="s">
        <v>621</v>
      </c>
      <c r="R23" s="247" t="s">
        <v>621</v>
      </c>
      <c r="S23" s="511" t="s">
        <v>621</v>
      </c>
      <c r="T23" s="510" t="s">
        <v>621</v>
      </c>
      <c r="U23" s="248">
        <f>U24</f>
        <v>25.72</v>
      </c>
      <c r="V23" s="247" t="s">
        <v>621</v>
      </c>
      <c r="W23" s="247" t="s">
        <v>621</v>
      </c>
      <c r="X23" s="258">
        <v>4.6820000000000004</v>
      </c>
      <c r="Y23" s="247" t="s">
        <v>621</v>
      </c>
      <c r="Z23" s="247" t="s">
        <v>621</v>
      </c>
      <c r="AA23" s="247">
        <f>AA24</f>
        <v>0</v>
      </c>
      <c r="AB23" s="247">
        <f>AB24</f>
        <v>25.72</v>
      </c>
      <c r="AC23" s="247" t="str">
        <f>AC24</f>
        <v>нд</v>
      </c>
      <c r="AD23" s="247" t="str">
        <f>AD24</f>
        <v>нд</v>
      </c>
      <c r="AE23" s="247">
        <f>AE24</f>
        <v>11.641999999999999</v>
      </c>
      <c r="AF23" s="247" t="s">
        <v>621</v>
      </c>
      <c r="AG23" s="511" t="s">
        <v>621</v>
      </c>
      <c r="AH23" s="1001" t="s">
        <v>621</v>
      </c>
      <c r="AI23" s="248">
        <v>42.6</v>
      </c>
      <c r="AJ23" s="247" t="s">
        <v>621</v>
      </c>
      <c r="AK23" s="247" t="s">
        <v>621</v>
      </c>
      <c r="AL23" s="258">
        <f>AL24</f>
        <v>6.32</v>
      </c>
      <c r="AM23" s="247" t="s">
        <v>621</v>
      </c>
      <c r="AN23" s="247" t="s">
        <v>621</v>
      </c>
      <c r="AO23" s="247" t="str">
        <f t="shared" si="0"/>
        <v>нд</v>
      </c>
      <c r="AP23" s="248">
        <f>AP24</f>
        <v>49.65</v>
      </c>
      <c r="AQ23" s="247" t="s">
        <v>621</v>
      </c>
      <c r="AR23" s="247" t="s">
        <v>621</v>
      </c>
      <c r="AS23" s="247">
        <f>AS24</f>
        <v>19.243400000000001</v>
      </c>
      <c r="AT23" s="247" t="s">
        <v>621</v>
      </c>
      <c r="AU23" s="511" t="s">
        <v>621</v>
      </c>
      <c r="AV23" s="510" t="s">
        <v>621</v>
      </c>
      <c r="AW23" s="569">
        <v>10.72</v>
      </c>
      <c r="AX23" s="247" t="s">
        <v>621</v>
      </c>
      <c r="AY23" s="247" t="s">
        <v>621</v>
      </c>
      <c r="AZ23" s="258">
        <v>3.875</v>
      </c>
      <c r="BA23" s="247" t="s">
        <v>621</v>
      </c>
      <c r="BB23" s="247" t="s">
        <v>621</v>
      </c>
      <c r="BC23" s="247" t="str">
        <f t="shared" si="1"/>
        <v>нд</v>
      </c>
      <c r="BD23" s="247">
        <f>BD24</f>
        <v>21.15</v>
      </c>
      <c r="BE23" s="247" t="s">
        <v>621</v>
      </c>
      <c r="BF23" s="247" t="s">
        <v>621</v>
      </c>
      <c r="BG23" s="247">
        <f>BG24</f>
        <v>8.2680000000000007</v>
      </c>
      <c r="BH23" s="247" t="s">
        <v>621</v>
      </c>
      <c r="BI23" s="498" t="s">
        <v>621</v>
      </c>
      <c r="BJ23" s="510" t="s">
        <v>621</v>
      </c>
      <c r="BK23" s="569">
        <v>47.19</v>
      </c>
      <c r="BL23" s="247" t="s">
        <v>621</v>
      </c>
      <c r="BM23" s="247" t="s">
        <v>621</v>
      </c>
      <c r="BN23" s="258">
        <v>4.8949999999999996</v>
      </c>
      <c r="BO23" s="247" t="s">
        <v>621</v>
      </c>
      <c r="BP23" s="247" t="s">
        <v>621</v>
      </c>
      <c r="BQ23" s="247" t="s">
        <v>621</v>
      </c>
      <c r="BR23" s="247">
        <f>BR24</f>
        <v>47.19</v>
      </c>
      <c r="BS23" s="247" t="s">
        <v>621</v>
      </c>
      <c r="BT23" s="247" t="s">
        <v>621</v>
      </c>
      <c r="BU23" s="247">
        <f>BU24</f>
        <v>4.8949999999999996</v>
      </c>
      <c r="BV23" s="247" t="s">
        <v>621</v>
      </c>
      <c r="BW23" s="511" t="str">
        <f>BW24</f>
        <v>нд</v>
      </c>
      <c r="BX23" s="510" t="s">
        <v>621</v>
      </c>
      <c r="BY23" s="569">
        <v>26.05</v>
      </c>
      <c r="BZ23" s="247" t="s">
        <v>621</v>
      </c>
      <c r="CA23" s="247" t="s">
        <v>621</v>
      </c>
      <c r="CB23" s="258">
        <v>3.1389999999999998</v>
      </c>
      <c r="CC23" s="247" t="s">
        <v>621</v>
      </c>
      <c r="CD23" s="498" t="s">
        <v>621</v>
      </c>
      <c r="CE23" s="248" t="s">
        <v>621</v>
      </c>
      <c r="CF23" s="247">
        <f>CF24</f>
        <v>26.05</v>
      </c>
      <c r="CG23" s="247" t="s">
        <v>621</v>
      </c>
      <c r="CH23" s="247" t="s">
        <v>621</v>
      </c>
      <c r="CI23" s="247">
        <f>CI24</f>
        <v>3.1389999999999998</v>
      </c>
      <c r="CJ23" s="247" t="s">
        <v>621</v>
      </c>
      <c r="CK23" s="511" t="s">
        <v>621</v>
      </c>
      <c r="CL23" s="510" t="s">
        <v>621</v>
      </c>
      <c r="CM23" s="569">
        <v>152.28</v>
      </c>
      <c r="CN23" s="247" t="s">
        <v>621</v>
      </c>
      <c r="CO23" s="247" t="s">
        <v>621</v>
      </c>
      <c r="CP23" s="258">
        <v>22.911000000000001</v>
      </c>
      <c r="CQ23" s="247" t="s">
        <v>621</v>
      </c>
      <c r="CR23" s="247" t="s">
        <v>621</v>
      </c>
      <c r="CS23" s="510" t="s">
        <v>621</v>
      </c>
      <c r="CT23" s="1015">
        <f>E23</f>
        <v>175.11</v>
      </c>
      <c r="CU23" s="247" t="s">
        <v>621</v>
      </c>
      <c r="CV23" s="247" t="s">
        <v>621</v>
      </c>
      <c r="CW23" s="247">
        <f>CW24</f>
        <v>35.384</v>
      </c>
      <c r="CX23" s="247" t="s">
        <v>621</v>
      </c>
      <c r="CY23" s="511" t="s">
        <v>621</v>
      </c>
      <c r="CZ23" s="514" t="s">
        <v>621</v>
      </c>
    </row>
    <row r="24" spans="1:106" s="183" customFormat="1" ht="28.5" customHeight="1" x14ac:dyDescent="0.25">
      <c r="A24" s="1035" t="s">
        <v>595</v>
      </c>
      <c r="B24" s="968" t="s">
        <v>746</v>
      </c>
      <c r="C24" s="245" t="s">
        <v>621</v>
      </c>
      <c r="D24" s="246">
        <v>152.28</v>
      </c>
      <c r="E24" s="1003">
        <f>SUM(E25:E49)</f>
        <v>175.11</v>
      </c>
      <c r="F24" s="512" t="s">
        <v>621</v>
      </c>
      <c r="G24" s="245" t="s">
        <v>621</v>
      </c>
      <c r="H24" s="245" t="s">
        <v>621</v>
      </c>
      <c r="I24" s="245" t="s">
        <v>621</v>
      </c>
      <c r="J24" s="245" t="s">
        <v>621</v>
      </c>
      <c r="K24" s="245" t="s">
        <v>621</v>
      </c>
      <c r="L24" s="245" t="s">
        <v>621</v>
      </c>
      <c r="M24" s="245" t="s">
        <v>621</v>
      </c>
      <c r="N24" s="245" t="s">
        <v>621</v>
      </c>
      <c r="O24" s="245" t="s">
        <v>621</v>
      </c>
      <c r="P24" s="245" t="s">
        <v>621</v>
      </c>
      <c r="Q24" s="245" t="s">
        <v>621</v>
      </c>
      <c r="R24" s="245" t="s">
        <v>621</v>
      </c>
      <c r="S24" s="509" t="s">
        <v>621</v>
      </c>
      <c r="T24" s="508" t="s">
        <v>621</v>
      </c>
      <c r="U24" s="246">
        <f>SUM(U25:U27)</f>
        <v>25.72</v>
      </c>
      <c r="V24" s="245" t="s">
        <v>621</v>
      </c>
      <c r="W24" s="245" t="s">
        <v>621</v>
      </c>
      <c r="X24" s="257">
        <v>4.6820000000000004</v>
      </c>
      <c r="Y24" s="245" t="s">
        <v>621</v>
      </c>
      <c r="Z24" s="245" t="s">
        <v>621</v>
      </c>
      <c r="AA24" s="245">
        <f>SUM(AA25:AA27)</f>
        <v>0</v>
      </c>
      <c r="AB24" s="245">
        <f>SUM(AB25:AB27)</f>
        <v>25.72</v>
      </c>
      <c r="AC24" s="245" t="s">
        <v>621</v>
      </c>
      <c r="AD24" s="245" t="s">
        <v>621</v>
      </c>
      <c r="AE24" s="257">
        <f>AE25+AE26+AE27+AE49</f>
        <v>11.641999999999999</v>
      </c>
      <c r="AF24" s="245" t="s">
        <v>621</v>
      </c>
      <c r="AG24" s="509" t="s">
        <v>621</v>
      </c>
      <c r="AH24" s="1000" t="s">
        <v>621</v>
      </c>
      <c r="AI24" s="246">
        <v>42.6</v>
      </c>
      <c r="AJ24" s="245" t="s">
        <v>621</v>
      </c>
      <c r="AK24" s="245" t="s">
        <v>621</v>
      </c>
      <c r="AL24" s="257">
        <f>SUM(AL28:AL30)</f>
        <v>6.32</v>
      </c>
      <c r="AM24" s="245" t="s">
        <v>621</v>
      </c>
      <c r="AN24" s="245" t="s">
        <v>621</v>
      </c>
      <c r="AO24" s="245" t="str">
        <f t="shared" si="0"/>
        <v>нд</v>
      </c>
      <c r="AP24" s="246">
        <f>SUM(AP25:AP49)</f>
        <v>49.65</v>
      </c>
      <c r="AQ24" s="245" t="s">
        <v>621</v>
      </c>
      <c r="AR24" s="245" t="s">
        <v>621</v>
      </c>
      <c r="AS24" s="245">
        <f>SUM(AS28:AS48)</f>
        <v>19.243400000000001</v>
      </c>
      <c r="AT24" s="245" t="s">
        <v>621</v>
      </c>
      <c r="AU24" s="509" t="s">
        <v>621</v>
      </c>
      <c r="AV24" s="508" t="s">
        <v>621</v>
      </c>
      <c r="AW24" s="568">
        <v>10.72</v>
      </c>
      <c r="AX24" s="245" t="s">
        <v>621</v>
      </c>
      <c r="AY24" s="245" t="s">
        <v>621</v>
      </c>
      <c r="AZ24" s="257">
        <v>3.875</v>
      </c>
      <c r="BA24" s="245" t="s">
        <v>621</v>
      </c>
      <c r="BB24" s="245" t="s">
        <v>621</v>
      </c>
      <c r="BC24" s="245" t="str">
        <f t="shared" si="1"/>
        <v>нд</v>
      </c>
      <c r="BD24" s="245">
        <f>SUM(BD31:BD49)</f>
        <v>21.15</v>
      </c>
      <c r="BE24" s="245">
        <f>SUM(BE31:BE49)</f>
        <v>0</v>
      </c>
      <c r="BF24" s="245">
        <f>SUM(BF31:BF49)</f>
        <v>0</v>
      </c>
      <c r="BG24" s="245">
        <f>SUM(BG25:BG49)</f>
        <v>8.2680000000000007</v>
      </c>
      <c r="BH24" s="245" t="s">
        <v>621</v>
      </c>
      <c r="BI24" s="497" t="s">
        <v>621</v>
      </c>
      <c r="BJ24" s="508" t="s">
        <v>621</v>
      </c>
      <c r="BK24" s="568">
        <v>47.19</v>
      </c>
      <c r="BL24" s="245" t="s">
        <v>621</v>
      </c>
      <c r="BM24" s="245" t="s">
        <v>621</v>
      </c>
      <c r="BN24" s="257">
        <v>4.8949999999999996</v>
      </c>
      <c r="BO24" s="245" t="s">
        <v>621</v>
      </c>
      <c r="BP24" s="245" t="s">
        <v>621</v>
      </c>
      <c r="BQ24" s="245" t="s">
        <v>621</v>
      </c>
      <c r="BR24" s="245">
        <f>SUM(BR33:BR33)</f>
        <v>47.19</v>
      </c>
      <c r="BS24" s="245" t="s">
        <v>621</v>
      </c>
      <c r="BT24" s="245" t="s">
        <v>621</v>
      </c>
      <c r="BU24" s="245">
        <f>SUM(BU33:BU33)</f>
        <v>4.8949999999999996</v>
      </c>
      <c r="BV24" s="245" t="s">
        <v>621</v>
      </c>
      <c r="BW24" s="509" t="s">
        <v>621</v>
      </c>
      <c r="BX24" s="508" t="s">
        <v>621</v>
      </c>
      <c r="BY24" s="568">
        <v>26.05</v>
      </c>
      <c r="BZ24" s="245" t="s">
        <v>621</v>
      </c>
      <c r="CA24" s="245" t="s">
        <v>621</v>
      </c>
      <c r="CB24" s="257">
        <v>3.1389999999999998</v>
      </c>
      <c r="CC24" s="245" t="s">
        <v>621</v>
      </c>
      <c r="CD24" s="497" t="s">
        <v>621</v>
      </c>
      <c r="CE24" s="246" t="s">
        <v>621</v>
      </c>
      <c r="CF24" s="245">
        <f>SUM(CF34:CF36)</f>
        <v>26.05</v>
      </c>
      <c r="CG24" s="245" t="s">
        <v>621</v>
      </c>
      <c r="CH24" s="245" t="s">
        <v>621</v>
      </c>
      <c r="CI24" s="245">
        <f>SUM(CI34:CI36)</f>
        <v>3.1389999999999998</v>
      </c>
      <c r="CJ24" s="245" t="s">
        <v>621</v>
      </c>
      <c r="CK24" s="509" t="s">
        <v>621</v>
      </c>
      <c r="CL24" s="508" t="s">
        <v>621</v>
      </c>
      <c r="CM24" s="568">
        <v>152.28</v>
      </c>
      <c r="CN24" s="245" t="s">
        <v>621</v>
      </c>
      <c r="CO24" s="245" t="s">
        <v>621</v>
      </c>
      <c r="CP24" s="257">
        <v>22.911000000000001</v>
      </c>
      <c r="CQ24" s="245" t="s">
        <v>621</v>
      </c>
      <c r="CR24" s="245" t="s">
        <v>621</v>
      </c>
      <c r="CS24" s="508" t="s">
        <v>621</v>
      </c>
      <c r="CT24" s="246">
        <f>E24</f>
        <v>175.11</v>
      </c>
      <c r="CU24" s="246"/>
      <c r="CV24" s="257">
        <f>SUM(CV25:CV49)</f>
        <v>0</v>
      </c>
      <c r="CW24" s="257">
        <f>SUM(CW25:CW49)</f>
        <v>35.384</v>
      </c>
      <c r="CX24" s="245" t="s">
        <v>621</v>
      </c>
      <c r="CY24" s="509" t="s">
        <v>621</v>
      </c>
      <c r="CZ24" s="500" t="s">
        <v>621</v>
      </c>
    </row>
    <row r="25" spans="1:106" s="313" customFormat="1" ht="50.25" customHeight="1" x14ac:dyDescent="0.25">
      <c r="A25" s="1035" t="s">
        <v>814</v>
      </c>
      <c r="B25" s="968" t="s">
        <v>815</v>
      </c>
      <c r="C25" s="972" t="s">
        <v>1044</v>
      </c>
      <c r="D25" s="246">
        <v>7.25</v>
      </c>
      <c r="E25" s="1003">
        <f>'3 (цены без НДС)'!AN23</f>
        <v>7.25</v>
      </c>
      <c r="F25" s="512" t="s">
        <v>621</v>
      </c>
      <c r="G25" s="245" t="s">
        <v>621</v>
      </c>
      <c r="H25" s="245" t="s">
        <v>621</v>
      </c>
      <c r="I25" s="245" t="s">
        <v>621</v>
      </c>
      <c r="J25" s="245" t="s">
        <v>621</v>
      </c>
      <c r="K25" s="245" t="s">
        <v>621</v>
      </c>
      <c r="L25" s="245" t="s">
        <v>621</v>
      </c>
      <c r="M25" s="245" t="s">
        <v>621</v>
      </c>
      <c r="N25" s="245" t="s">
        <v>621</v>
      </c>
      <c r="O25" s="245" t="s">
        <v>621</v>
      </c>
      <c r="P25" s="245" t="s">
        <v>621</v>
      </c>
      <c r="Q25" s="245" t="s">
        <v>621</v>
      </c>
      <c r="R25" s="245" t="s">
        <v>621</v>
      </c>
      <c r="S25" s="509" t="s">
        <v>621</v>
      </c>
      <c r="T25" s="508" t="s">
        <v>621</v>
      </c>
      <c r="U25" s="246">
        <f>D25</f>
        <v>7.25</v>
      </c>
      <c r="V25" s="245" t="s">
        <v>621</v>
      </c>
      <c r="W25" s="245" t="s">
        <v>621</v>
      </c>
      <c r="X25" s="256">
        <v>1.3</v>
      </c>
      <c r="Y25" s="245" t="s">
        <v>621</v>
      </c>
      <c r="Z25" s="245" t="s">
        <v>621</v>
      </c>
      <c r="AA25" s="246" t="str">
        <f>T25</f>
        <v>нд</v>
      </c>
      <c r="AB25" s="246">
        <f>E25</f>
        <v>7.25</v>
      </c>
      <c r="AC25" s="245" t="s">
        <v>621</v>
      </c>
      <c r="AD25" s="245" t="s">
        <v>621</v>
      </c>
      <c r="AE25" s="257">
        <f>X25</f>
        <v>1.3</v>
      </c>
      <c r="AF25" s="245" t="s">
        <v>621</v>
      </c>
      <c r="AG25" s="509" t="s">
        <v>621</v>
      </c>
      <c r="AH25" s="568" t="s">
        <v>621</v>
      </c>
      <c r="AI25" s="245">
        <v>0</v>
      </c>
      <c r="AJ25" s="245" t="s">
        <v>621</v>
      </c>
      <c r="AK25" s="245" t="s">
        <v>621</v>
      </c>
      <c r="AL25" s="350">
        <v>0</v>
      </c>
      <c r="AM25" s="245" t="s">
        <v>621</v>
      </c>
      <c r="AN25" s="245" t="s">
        <v>621</v>
      </c>
      <c r="AO25" s="246" t="str">
        <f t="shared" si="0"/>
        <v>нд</v>
      </c>
      <c r="AP25" s="246">
        <v>0</v>
      </c>
      <c r="AQ25" s="245" t="s">
        <v>621</v>
      </c>
      <c r="AR25" s="245" t="s">
        <v>621</v>
      </c>
      <c r="AS25" s="245">
        <f>AL25</f>
        <v>0</v>
      </c>
      <c r="AT25" s="245" t="s">
        <v>621</v>
      </c>
      <c r="AU25" s="509" t="s">
        <v>621</v>
      </c>
      <c r="AV25" s="508" t="s">
        <v>621</v>
      </c>
      <c r="AW25" s="500">
        <v>0</v>
      </c>
      <c r="AX25" s="245" t="s">
        <v>621</v>
      </c>
      <c r="AY25" s="245" t="s">
        <v>621</v>
      </c>
      <c r="AZ25" s="245">
        <v>0</v>
      </c>
      <c r="BA25" s="245" t="s">
        <v>621</v>
      </c>
      <c r="BB25" s="245" t="s">
        <v>621</v>
      </c>
      <c r="BC25" s="246" t="str">
        <f t="shared" si="1"/>
        <v>нд</v>
      </c>
      <c r="BD25" s="245">
        <f t="shared" ref="BD25:BD36" si="2">AW25</f>
        <v>0</v>
      </c>
      <c r="BE25" s="245" t="s">
        <v>621</v>
      </c>
      <c r="BF25" s="245" t="s">
        <v>621</v>
      </c>
      <c r="BG25" s="245">
        <f>AZ25</f>
        <v>0</v>
      </c>
      <c r="BH25" s="245" t="s">
        <v>621</v>
      </c>
      <c r="BI25" s="497" t="s">
        <v>621</v>
      </c>
      <c r="BJ25" s="508" t="s">
        <v>621</v>
      </c>
      <c r="BK25" s="500" t="s">
        <v>621</v>
      </c>
      <c r="BL25" s="245" t="s">
        <v>621</v>
      </c>
      <c r="BM25" s="245" t="s">
        <v>621</v>
      </c>
      <c r="BN25" s="350">
        <v>0</v>
      </c>
      <c r="BO25" s="245" t="s">
        <v>621</v>
      </c>
      <c r="BP25" s="245" t="s">
        <v>621</v>
      </c>
      <c r="BQ25" s="245" t="s">
        <v>621</v>
      </c>
      <c r="BR25" s="245" t="s">
        <v>621</v>
      </c>
      <c r="BS25" s="245" t="s">
        <v>621</v>
      </c>
      <c r="BT25" s="245" t="s">
        <v>621</v>
      </c>
      <c r="BU25" s="245">
        <f>BN25</f>
        <v>0</v>
      </c>
      <c r="BV25" s="245" t="s">
        <v>621</v>
      </c>
      <c r="BW25" s="509" t="s">
        <v>621</v>
      </c>
      <c r="BX25" s="508" t="s">
        <v>621</v>
      </c>
      <c r="BY25" s="500">
        <v>0</v>
      </c>
      <c r="BZ25" s="245" t="s">
        <v>621</v>
      </c>
      <c r="CA25" s="245" t="s">
        <v>621</v>
      </c>
      <c r="CB25" s="245">
        <v>0</v>
      </c>
      <c r="CC25" s="245" t="s">
        <v>621</v>
      </c>
      <c r="CD25" s="497" t="s">
        <v>621</v>
      </c>
      <c r="CE25" s="246" t="s">
        <v>621</v>
      </c>
      <c r="CF25" s="245">
        <f t="shared" ref="CF25:CF48" si="3">BY25</f>
        <v>0</v>
      </c>
      <c r="CG25" s="245" t="s">
        <v>621</v>
      </c>
      <c r="CH25" s="245" t="s">
        <v>621</v>
      </c>
      <c r="CI25" s="245">
        <f>CB25</f>
        <v>0</v>
      </c>
      <c r="CJ25" s="245" t="s">
        <v>621</v>
      </c>
      <c r="CK25" s="509" t="s">
        <v>621</v>
      </c>
      <c r="CL25" s="508" t="s">
        <v>621</v>
      </c>
      <c r="CM25" s="568">
        <v>7.25</v>
      </c>
      <c r="CN25" s="245" t="s">
        <v>621</v>
      </c>
      <c r="CO25" s="245" t="s">
        <v>621</v>
      </c>
      <c r="CP25" s="256">
        <v>1.3</v>
      </c>
      <c r="CQ25" s="245" t="s">
        <v>621</v>
      </c>
      <c r="CR25" s="245" t="s">
        <v>621</v>
      </c>
      <c r="CS25" s="508" t="s">
        <v>621</v>
      </c>
      <c r="CT25" s="246">
        <f>'3 (цены без НДС)'!P23</f>
        <v>7.25</v>
      </c>
      <c r="CU25" s="245" t="s">
        <v>621</v>
      </c>
      <c r="CV25" s="245" t="s">
        <v>621</v>
      </c>
      <c r="CW25" s="257">
        <f>CP25</f>
        <v>1.3</v>
      </c>
      <c r="CX25" s="245" t="s">
        <v>621</v>
      </c>
      <c r="CY25" s="509" t="s">
        <v>621</v>
      </c>
      <c r="CZ25" s="500" t="s">
        <v>621</v>
      </c>
    </row>
    <row r="26" spans="1:106" s="313" customFormat="1" ht="47.25" customHeight="1" x14ac:dyDescent="0.25">
      <c r="A26" s="1035" t="s">
        <v>813</v>
      </c>
      <c r="B26" s="968" t="s">
        <v>859</v>
      </c>
      <c r="C26" s="972" t="s">
        <v>1045</v>
      </c>
      <c r="D26" s="246">
        <v>2.93</v>
      </c>
      <c r="E26" s="1003">
        <f>'3 (цены без НДС)'!AN24</f>
        <v>2.93</v>
      </c>
      <c r="F26" s="512" t="s">
        <v>621</v>
      </c>
      <c r="G26" s="245" t="s">
        <v>621</v>
      </c>
      <c r="H26" s="245" t="s">
        <v>621</v>
      </c>
      <c r="I26" s="245" t="s">
        <v>621</v>
      </c>
      <c r="J26" s="245" t="s">
        <v>621</v>
      </c>
      <c r="K26" s="245" t="s">
        <v>621</v>
      </c>
      <c r="L26" s="245" t="s">
        <v>621</v>
      </c>
      <c r="M26" s="245" t="s">
        <v>621</v>
      </c>
      <c r="N26" s="245" t="s">
        <v>621</v>
      </c>
      <c r="O26" s="245" t="s">
        <v>621</v>
      </c>
      <c r="P26" s="245" t="s">
        <v>621</v>
      </c>
      <c r="Q26" s="245" t="s">
        <v>621</v>
      </c>
      <c r="R26" s="245" t="s">
        <v>621</v>
      </c>
      <c r="S26" s="509" t="s">
        <v>621</v>
      </c>
      <c r="T26" s="508" t="s">
        <v>621</v>
      </c>
      <c r="U26" s="246">
        <f t="shared" ref="U26:U36" si="4">D26</f>
        <v>2.93</v>
      </c>
      <c r="V26" s="245" t="s">
        <v>621</v>
      </c>
      <c r="W26" s="245" t="s">
        <v>621</v>
      </c>
      <c r="X26" s="256">
        <v>0.45300000000000001</v>
      </c>
      <c r="Y26" s="245" t="s">
        <v>621</v>
      </c>
      <c r="Z26" s="245" t="s">
        <v>621</v>
      </c>
      <c r="AA26" s="246" t="str">
        <f t="shared" ref="AA26:AA36" si="5">T26</f>
        <v>нд</v>
      </c>
      <c r="AB26" s="246">
        <f>E26</f>
        <v>2.93</v>
      </c>
      <c r="AC26" s="245" t="s">
        <v>621</v>
      </c>
      <c r="AD26" s="245" t="s">
        <v>621</v>
      </c>
      <c r="AE26" s="257">
        <f>X26</f>
        <v>0.45300000000000001</v>
      </c>
      <c r="AF26" s="245" t="s">
        <v>621</v>
      </c>
      <c r="AG26" s="509" t="s">
        <v>621</v>
      </c>
      <c r="AH26" s="568" t="s">
        <v>621</v>
      </c>
      <c r="AI26" s="245">
        <v>0</v>
      </c>
      <c r="AJ26" s="245" t="s">
        <v>621</v>
      </c>
      <c r="AK26" s="245" t="s">
        <v>621</v>
      </c>
      <c r="AL26" s="350">
        <v>0</v>
      </c>
      <c r="AM26" s="245" t="s">
        <v>621</v>
      </c>
      <c r="AN26" s="245" t="s">
        <v>621</v>
      </c>
      <c r="AO26" s="246" t="str">
        <f t="shared" ref="AO26:AO35" si="6">AH26</f>
        <v>нд</v>
      </c>
      <c r="AP26" s="246">
        <v>0</v>
      </c>
      <c r="AQ26" s="245" t="s">
        <v>621</v>
      </c>
      <c r="AR26" s="245" t="s">
        <v>621</v>
      </c>
      <c r="AS26" s="245">
        <f t="shared" ref="AS26:AS36" si="7">AL26</f>
        <v>0</v>
      </c>
      <c r="AT26" s="245" t="s">
        <v>621</v>
      </c>
      <c r="AU26" s="509" t="s">
        <v>621</v>
      </c>
      <c r="AV26" s="508" t="s">
        <v>621</v>
      </c>
      <c r="AW26" s="500">
        <v>0</v>
      </c>
      <c r="AX26" s="245" t="s">
        <v>621</v>
      </c>
      <c r="AY26" s="245" t="s">
        <v>621</v>
      </c>
      <c r="AZ26" s="245">
        <v>0</v>
      </c>
      <c r="BA26" s="245" t="s">
        <v>621</v>
      </c>
      <c r="BB26" s="245" t="s">
        <v>621</v>
      </c>
      <c r="BC26" s="246" t="str">
        <f t="shared" ref="BC26:BC36" si="8">AV26</f>
        <v>нд</v>
      </c>
      <c r="BD26" s="245">
        <f t="shared" si="2"/>
        <v>0</v>
      </c>
      <c r="BE26" s="245" t="s">
        <v>621</v>
      </c>
      <c r="BF26" s="245" t="s">
        <v>621</v>
      </c>
      <c r="BG26" s="245">
        <f t="shared" ref="BG26:BG36" si="9">AZ26</f>
        <v>0</v>
      </c>
      <c r="BH26" s="245" t="s">
        <v>621</v>
      </c>
      <c r="BI26" s="497" t="s">
        <v>621</v>
      </c>
      <c r="BJ26" s="508" t="s">
        <v>621</v>
      </c>
      <c r="BK26" s="500" t="s">
        <v>621</v>
      </c>
      <c r="BL26" s="245" t="s">
        <v>621</v>
      </c>
      <c r="BM26" s="245" t="s">
        <v>621</v>
      </c>
      <c r="BN26" s="350">
        <v>0</v>
      </c>
      <c r="BO26" s="245" t="s">
        <v>621</v>
      </c>
      <c r="BP26" s="245" t="s">
        <v>621</v>
      </c>
      <c r="BQ26" s="245" t="s">
        <v>621</v>
      </c>
      <c r="BR26" s="245" t="s">
        <v>621</v>
      </c>
      <c r="BS26" s="245" t="s">
        <v>621</v>
      </c>
      <c r="BT26" s="245" t="s">
        <v>621</v>
      </c>
      <c r="BU26" s="245">
        <f t="shared" ref="BU26:BU36" si="10">BN26</f>
        <v>0</v>
      </c>
      <c r="BV26" s="245" t="s">
        <v>621</v>
      </c>
      <c r="BW26" s="509" t="s">
        <v>621</v>
      </c>
      <c r="BX26" s="508" t="s">
        <v>621</v>
      </c>
      <c r="BY26" s="500">
        <v>0</v>
      </c>
      <c r="BZ26" s="245" t="s">
        <v>621</v>
      </c>
      <c r="CA26" s="245" t="s">
        <v>621</v>
      </c>
      <c r="CB26" s="245">
        <v>0</v>
      </c>
      <c r="CC26" s="245" t="s">
        <v>621</v>
      </c>
      <c r="CD26" s="497" t="s">
        <v>621</v>
      </c>
      <c r="CE26" s="246" t="s">
        <v>621</v>
      </c>
      <c r="CF26" s="245">
        <f t="shared" si="3"/>
        <v>0</v>
      </c>
      <c r="CG26" s="245" t="s">
        <v>621</v>
      </c>
      <c r="CH26" s="245" t="s">
        <v>621</v>
      </c>
      <c r="CI26" s="245">
        <f t="shared" ref="CI26:CI48" si="11">CB26</f>
        <v>0</v>
      </c>
      <c r="CJ26" s="245" t="s">
        <v>621</v>
      </c>
      <c r="CK26" s="509" t="s">
        <v>621</v>
      </c>
      <c r="CL26" s="508" t="s">
        <v>621</v>
      </c>
      <c r="CM26" s="568">
        <v>2.93</v>
      </c>
      <c r="CN26" s="245" t="s">
        <v>621</v>
      </c>
      <c r="CO26" s="245" t="s">
        <v>621</v>
      </c>
      <c r="CP26" s="256">
        <v>0.45300000000000001</v>
      </c>
      <c r="CQ26" s="245" t="s">
        <v>621</v>
      </c>
      <c r="CR26" s="245" t="s">
        <v>621</v>
      </c>
      <c r="CS26" s="508" t="s">
        <v>621</v>
      </c>
      <c r="CT26" s="246">
        <f>'3 (цены без НДС)'!P24</f>
        <v>2.93</v>
      </c>
      <c r="CU26" s="245" t="s">
        <v>621</v>
      </c>
      <c r="CV26" s="245" t="s">
        <v>621</v>
      </c>
      <c r="CW26" s="257">
        <f t="shared" ref="CW26:CW36" si="12">CP26</f>
        <v>0.45300000000000001</v>
      </c>
      <c r="CX26" s="245" t="s">
        <v>621</v>
      </c>
      <c r="CY26" s="509" t="s">
        <v>621</v>
      </c>
      <c r="CZ26" s="500" t="s">
        <v>621</v>
      </c>
    </row>
    <row r="27" spans="1:106" s="313" customFormat="1" ht="88.5" customHeight="1" x14ac:dyDescent="0.25">
      <c r="A27" s="1035" t="s">
        <v>817</v>
      </c>
      <c r="B27" s="968" t="s">
        <v>934</v>
      </c>
      <c r="C27" s="972" t="s">
        <v>1046</v>
      </c>
      <c r="D27" s="246">
        <v>15.54</v>
      </c>
      <c r="E27" s="1003">
        <f>'3 (цены без НДС)'!AN25</f>
        <v>15.54</v>
      </c>
      <c r="F27" s="512" t="s">
        <v>621</v>
      </c>
      <c r="G27" s="245" t="s">
        <v>621</v>
      </c>
      <c r="H27" s="245" t="s">
        <v>621</v>
      </c>
      <c r="I27" s="245" t="s">
        <v>621</v>
      </c>
      <c r="J27" s="245" t="s">
        <v>621</v>
      </c>
      <c r="K27" s="245" t="s">
        <v>621</v>
      </c>
      <c r="L27" s="245" t="s">
        <v>621</v>
      </c>
      <c r="M27" s="245" t="s">
        <v>621</v>
      </c>
      <c r="N27" s="245" t="s">
        <v>621</v>
      </c>
      <c r="O27" s="245" t="s">
        <v>621</v>
      </c>
      <c r="P27" s="245" t="s">
        <v>621</v>
      </c>
      <c r="Q27" s="245" t="s">
        <v>621</v>
      </c>
      <c r="R27" s="245" t="s">
        <v>621</v>
      </c>
      <c r="S27" s="509" t="s">
        <v>621</v>
      </c>
      <c r="T27" s="508" t="s">
        <v>621</v>
      </c>
      <c r="U27" s="246">
        <f t="shared" si="4"/>
        <v>15.54</v>
      </c>
      <c r="V27" s="245" t="s">
        <v>621</v>
      </c>
      <c r="W27" s="245" t="s">
        <v>621</v>
      </c>
      <c r="X27" s="256">
        <v>2.9289999999999998</v>
      </c>
      <c r="Y27" s="245" t="s">
        <v>621</v>
      </c>
      <c r="Z27" s="245" t="s">
        <v>621</v>
      </c>
      <c r="AA27" s="246" t="str">
        <f t="shared" si="5"/>
        <v>нд</v>
      </c>
      <c r="AB27" s="246">
        <f>E27</f>
        <v>15.54</v>
      </c>
      <c r="AC27" s="245" t="s">
        <v>621</v>
      </c>
      <c r="AD27" s="245" t="s">
        <v>621</v>
      </c>
      <c r="AE27" s="245">
        <f>'Ф1 2020'!O53</f>
        <v>2.9289999999999998</v>
      </c>
      <c r="AF27" s="245" t="s">
        <v>621</v>
      </c>
      <c r="AG27" s="509" t="s">
        <v>621</v>
      </c>
      <c r="AH27" s="568" t="s">
        <v>621</v>
      </c>
      <c r="AI27" s="245">
        <v>0</v>
      </c>
      <c r="AJ27" s="245" t="s">
        <v>621</v>
      </c>
      <c r="AK27" s="245" t="s">
        <v>621</v>
      </c>
      <c r="AL27" s="350">
        <v>0</v>
      </c>
      <c r="AM27" s="245" t="s">
        <v>621</v>
      </c>
      <c r="AN27" s="245" t="s">
        <v>621</v>
      </c>
      <c r="AO27" s="246" t="str">
        <f t="shared" si="6"/>
        <v>нд</v>
      </c>
      <c r="AP27" s="246">
        <v>0</v>
      </c>
      <c r="AQ27" s="245" t="s">
        <v>621</v>
      </c>
      <c r="AR27" s="245" t="s">
        <v>621</v>
      </c>
      <c r="AS27" s="245">
        <f t="shared" si="7"/>
        <v>0</v>
      </c>
      <c r="AT27" s="245" t="s">
        <v>621</v>
      </c>
      <c r="AU27" s="509" t="s">
        <v>621</v>
      </c>
      <c r="AV27" s="508" t="s">
        <v>621</v>
      </c>
      <c r="AW27" s="500">
        <v>0</v>
      </c>
      <c r="AX27" s="245" t="s">
        <v>621</v>
      </c>
      <c r="AY27" s="245" t="s">
        <v>621</v>
      </c>
      <c r="AZ27" s="245">
        <v>0</v>
      </c>
      <c r="BA27" s="245" t="s">
        <v>621</v>
      </c>
      <c r="BB27" s="245" t="s">
        <v>621</v>
      </c>
      <c r="BC27" s="246" t="str">
        <f t="shared" si="8"/>
        <v>нд</v>
      </c>
      <c r="BD27" s="245">
        <f t="shared" si="2"/>
        <v>0</v>
      </c>
      <c r="BE27" s="245" t="s">
        <v>621</v>
      </c>
      <c r="BF27" s="245" t="s">
        <v>621</v>
      </c>
      <c r="BG27" s="245">
        <f t="shared" si="9"/>
        <v>0</v>
      </c>
      <c r="BH27" s="245" t="s">
        <v>621</v>
      </c>
      <c r="BI27" s="497" t="s">
        <v>621</v>
      </c>
      <c r="BJ27" s="508" t="s">
        <v>621</v>
      </c>
      <c r="BK27" s="500" t="s">
        <v>621</v>
      </c>
      <c r="BL27" s="245" t="s">
        <v>621</v>
      </c>
      <c r="BM27" s="245" t="s">
        <v>621</v>
      </c>
      <c r="BN27" s="350">
        <v>0</v>
      </c>
      <c r="BO27" s="245" t="s">
        <v>621</v>
      </c>
      <c r="BP27" s="245" t="s">
        <v>621</v>
      </c>
      <c r="BQ27" s="245" t="s">
        <v>621</v>
      </c>
      <c r="BR27" s="245" t="s">
        <v>621</v>
      </c>
      <c r="BS27" s="245" t="s">
        <v>621</v>
      </c>
      <c r="BT27" s="245" t="s">
        <v>621</v>
      </c>
      <c r="BU27" s="245">
        <f t="shared" si="10"/>
        <v>0</v>
      </c>
      <c r="BV27" s="245" t="s">
        <v>621</v>
      </c>
      <c r="BW27" s="509" t="s">
        <v>621</v>
      </c>
      <c r="BX27" s="508" t="s">
        <v>621</v>
      </c>
      <c r="BY27" s="500">
        <v>0</v>
      </c>
      <c r="BZ27" s="245" t="s">
        <v>621</v>
      </c>
      <c r="CA27" s="245" t="s">
        <v>621</v>
      </c>
      <c r="CB27" s="245">
        <v>0</v>
      </c>
      <c r="CC27" s="245" t="s">
        <v>621</v>
      </c>
      <c r="CD27" s="497" t="s">
        <v>621</v>
      </c>
      <c r="CE27" s="246" t="s">
        <v>621</v>
      </c>
      <c r="CF27" s="245">
        <f t="shared" si="3"/>
        <v>0</v>
      </c>
      <c r="CG27" s="245" t="s">
        <v>621</v>
      </c>
      <c r="CH27" s="245" t="s">
        <v>621</v>
      </c>
      <c r="CI27" s="245">
        <f t="shared" si="11"/>
        <v>0</v>
      </c>
      <c r="CJ27" s="245" t="s">
        <v>621</v>
      </c>
      <c r="CK27" s="509" t="s">
        <v>621</v>
      </c>
      <c r="CL27" s="508" t="s">
        <v>621</v>
      </c>
      <c r="CM27" s="568">
        <v>15.54</v>
      </c>
      <c r="CN27" s="245" t="s">
        <v>621</v>
      </c>
      <c r="CO27" s="245" t="s">
        <v>621</v>
      </c>
      <c r="CP27" s="256">
        <v>2.9289999999999998</v>
      </c>
      <c r="CQ27" s="245" t="s">
        <v>621</v>
      </c>
      <c r="CR27" s="245" t="s">
        <v>621</v>
      </c>
      <c r="CS27" s="508" t="s">
        <v>621</v>
      </c>
      <c r="CT27" s="246">
        <f>'3 (цены без НДС)'!P25</f>
        <v>15.54</v>
      </c>
      <c r="CU27" s="245" t="s">
        <v>621</v>
      </c>
      <c r="CV27" s="245" t="s">
        <v>621</v>
      </c>
      <c r="CW27" s="257">
        <f>AE27</f>
        <v>2.9289999999999998</v>
      </c>
      <c r="CX27" s="245" t="s">
        <v>621</v>
      </c>
      <c r="CY27" s="509" t="s">
        <v>621</v>
      </c>
      <c r="CZ27" s="500" t="s">
        <v>621</v>
      </c>
    </row>
    <row r="28" spans="1:106" s="313" customFormat="1" ht="69" customHeight="1" x14ac:dyDescent="0.25">
      <c r="A28" s="1035" t="s">
        <v>819</v>
      </c>
      <c r="B28" s="968" t="s">
        <v>816</v>
      </c>
      <c r="C28" s="972" t="s">
        <v>1047</v>
      </c>
      <c r="D28" s="246">
        <v>9.2100000000000009</v>
      </c>
      <c r="E28" s="1003">
        <f>'3 (цены без НДС)'!AN26</f>
        <v>12.77</v>
      </c>
      <c r="F28" s="512" t="s">
        <v>621</v>
      </c>
      <c r="G28" s="245" t="s">
        <v>621</v>
      </c>
      <c r="H28" s="245" t="s">
        <v>621</v>
      </c>
      <c r="I28" s="245" t="s">
        <v>621</v>
      </c>
      <c r="J28" s="245" t="s">
        <v>621</v>
      </c>
      <c r="K28" s="245" t="s">
        <v>621</v>
      </c>
      <c r="L28" s="245" t="s">
        <v>621</v>
      </c>
      <c r="M28" s="245" t="s">
        <v>621</v>
      </c>
      <c r="N28" s="245" t="s">
        <v>621</v>
      </c>
      <c r="O28" s="245" t="s">
        <v>621</v>
      </c>
      <c r="P28" s="245" t="s">
        <v>621</v>
      </c>
      <c r="Q28" s="245" t="s">
        <v>621</v>
      </c>
      <c r="R28" s="245" t="s">
        <v>621</v>
      </c>
      <c r="S28" s="509" t="s">
        <v>621</v>
      </c>
      <c r="T28" s="512" t="s">
        <v>621</v>
      </c>
      <c r="U28" s="246">
        <f t="shared" si="4"/>
        <v>9.2100000000000009</v>
      </c>
      <c r="V28" s="245" t="s">
        <v>621</v>
      </c>
      <c r="W28" s="245" t="s">
        <v>621</v>
      </c>
      <c r="X28" s="350">
        <v>0</v>
      </c>
      <c r="Y28" s="245" t="s">
        <v>621</v>
      </c>
      <c r="Z28" s="245" t="s">
        <v>621</v>
      </c>
      <c r="AA28" s="246" t="str">
        <f t="shared" si="5"/>
        <v>нд</v>
      </c>
      <c r="AB28" s="246" t="s">
        <v>621</v>
      </c>
      <c r="AC28" s="245" t="s">
        <v>621</v>
      </c>
      <c r="AD28" s="245" t="s">
        <v>621</v>
      </c>
      <c r="AE28" s="245">
        <f>X28</f>
        <v>0</v>
      </c>
      <c r="AF28" s="245" t="s">
        <v>621</v>
      </c>
      <c r="AG28" s="509" t="s">
        <v>621</v>
      </c>
      <c r="AH28" s="500" t="s">
        <v>621</v>
      </c>
      <c r="AI28" s="246">
        <v>9.2100000000000009</v>
      </c>
      <c r="AJ28" s="245" t="s">
        <v>621</v>
      </c>
      <c r="AK28" s="245" t="s">
        <v>621</v>
      </c>
      <c r="AL28" s="262">
        <f>'Ф1 2021'!N51</f>
        <v>1.0109999999999999</v>
      </c>
      <c r="AM28" s="245" t="s">
        <v>621</v>
      </c>
      <c r="AN28" s="245" t="s">
        <v>621</v>
      </c>
      <c r="AO28" s="246" t="str">
        <f>AH28</f>
        <v>нд</v>
      </c>
      <c r="AP28" s="246">
        <f>'3 (цены без НДС)'!AN26</f>
        <v>12.77</v>
      </c>
      <c r="AQ28" s="245" t="s">
        <v>621</v>
      </c>
      <c r="AR28" s="245" t="s">
        <v>621</v>
      </c>
      <c r="AS28" s="245">
        <f>'Ф1 2021'!O51</f>
        <v>4.3159999999999998</v>
      </c>
      <c r="AT28" s="245" t="s">
        <v>621</v>
      </c>
      <c r="AU28" s="509" t="s">
        <v>621</v>
      </c>
      <c r="AV28" s="512" t="s">
        <v>621</v>
      </c>
      <c r="AW28" s="500">
        <v>0</v>
      </c>
      <c r="AX28" s="245" t="s">
        <v>621</v>
      </c>
      <c r="AY28" s="245" t="s">
        <v>621</v>
      </c>
      <c r="AZ28" s="245">
        <v>0</v>
      </c>
      <c r="BA28" s="245" t="s">
        <v>621</v>
      </c>
      <c r="BB28" s="245" t="s">
        <v>621</v>
      </c>
      <c r="BC28" s="246" t="str">
        <f>AV28</f>
        <v>нд</v>
      </c>
      <c r="BD28" s="245">
        <f t="shared" si="2"/>
        <v>0</v>
      </c>
      <c r="BE28" s="245" t="s">
        <v>621</v>
      </c>
      <c r="BF28" s="245" t="s">
        <v>621</v>
      </c>
      <c r="BG28" s="245">
        <f t="shared" si="9"/>
        <v>0</v>
      </c>
      <c r="BH28" s="245" t="s">
        <v>621</v>
      </c>
      <c r="BI28" s="497" t="s">
        <v>621</v>
      </c>
      <c r="BJ28" s="512" t="s">
        <v>621</v>
      </c>
      <c r="BK28" s="500" t="s">
        <v>621</v>
      </c>
      <c r="BL28" s="245" t="s">
        <v>621</v>
      </c>
      <c r="BM28" s="245" t="s">
        <v>621</v>
      </c>
      <c r="BN28" s="350">
        <v>0</v>
      </c>
      <c r="BO28" s="245" t="s">
        <v>621</v>
      </c>
      <c r="BP28" s="245" t="s">
        <v>621</v>
      </c>
      <c r="BQ28" s="245" t="s">
        <v>621</v>
      </c>
      <c r="BR28" s="245" t="s">
        <v>621</v>
      </c>
      <c r="BS28" s="245" t="s">
        <v>621</v>
      </c>
      <c r="BT28" s="245" t="s">
        <v>621</v>
      </c>
      <c r="BU28" s="245">
        <f t="shared" si="10"/>
        <v>0</v>
      </c>
      <c r="BV28" s="245" t="s">
        <v>621</v>
      </c>
      <c r="BW28" s="509" t="s">
        <v>621</v>
      </c>
      <c r="BX28" s="512" t="s">
        <v>621</v>
      </c>
      <c r="BY28" s="500">
        <v>0</v>
      </c>
      <c r="BZ28" s="245" t="s">
        <v>621</v>
      </c>
      <c r="CA28" s="245" t="s">
        <v>621</v>
      </c>
      <c r="CB28" s="245">
        <v>0</v>
      </c>
      <c r="CC28" s="245" t="s">
        <v>621</v>
      </c>
      <c r="CD28" s="497" t="s">
        <v>621</v>
      </c>
      <c r="CE28" s="245" t="s">
        <v>621</v>
      </c>
      <c r="CF28" s="245">
        <f t="shared" si="3"/>
        <v>0</v>
      </c>
      <c r="CG28" s="245" t="s">
        <v>621</v>
      </c>
      <c r="CH28" s="245" t="s">
        <v>621</v>
      </c>
      <c r="CI28" s="245">
        <f t="shared" si="11"/>
        <v>0</v>
      </c>
      <c r="CJ28" s="245" t="s">
        <v>621</v>
      </c>
      <c r="CK28" s="509" t="s">
        <v>621</v>
      </c>
      <c r="CL28" s="512" t="s">
        <v>621</v>
      </c>
      <c r="CM28" s="568">
        <v>9.2100000000000009</v>
      </c>
      <c r="CN28" s="245" t="s">
        <v>621</v>
      </c>
      <c r="CO28" s="245" t="s">
        <v>621</v>
      </c>
      <c r="CP28" s="262">
        <v>1.0109999999999999</v>
      </c>
      <c r="CQ28" s="245" t="s">
        <v>621</v>
      </c>
      <c r="CR28" s="245" t="s">
        <v>621</v>
      </c>
      <c r="CS28" s="512" t="s">
        <v>621</v>
      </c>
      <c r="CT28" s="246">
        <f>'3 (цены без НДС)'!P26</f>
        <v>12.77</v>
      </c>
      <c r="CU28" s="245" t="s">
        <v>621</v>
      </c>
      <c r="CV28" s="245" t="s">
        <v>621</v>
      </c>
      <c r="CW28" s="257">
        <f t="shared" si="12"/>
        <v>1.0109999999999999</v>
      </c>
      <c r="CX28" s="245" t="s">
        <v>621</v>
      </c>
      <c r="CY28" s="509" t="s">
        <v>621</v>
      </c>
      <c r="CZ28" s="500" t="s">
        <v>621</v>
      </c>
    </row>
    <row r="29" spans="1:106" s="313" customFormat="1" ht="79.5" customHeight="1" x14ac:dyDescent="0.25">
      <c r="A29" s="1035" t="s">
        <v>820</v>
      </c>
      <c r="B29" s="968" t="s">
        <v>903</v>
      </c>
      <c r="C29" s="972" t="s">
        <v>1048</v>
      </c>
      <c r="D29" s="246">
        <v>12.53</v>
      </c>
      <c r="E29" s="1003">
        <f>'3 (цены без НДС)'!AN27</f>
        <v>20.170000000000002</v>
      </c>
      <c r="F29" s="512" t="s">
        <v>621</v>
      </c>
      <c r="G29" s="245" t="s">
        <v>621</v>
      </c>
      <c r="H29" s="245" t="s">
        <v>621</v>
      </c>
      <c r="I29" s="245" t="s">
        <v>621</v>
      </c>
      <c r="J29" s="245" t="s">
        <v>621</v>
      </c>
      <c r="K29" s="245" t="s">
        <v>621</v>
      </c>
      <c r="L29" s="245" t="s">
        <v>621</v>
      </c>
      <c r="M29" s="245" t="s">
        <v>621</v>
      </c>
      <c r="N29" s="245" t="s">
        <v>621</v>
      </c>
      <c r="O29" s="245" t="s">
        <v>621</v>
      </c>
      <c r="P29" s="245" t="s">
        <v>621</v>
      </c>
      <c r="Q29" s="245" t="s">
        <v>621</v>
      </c>
      <c r="R29" s="245" t="s">
        <v>621</v>
      </c>
      <c r="S29" s="509" t="s">
        <v>621</v>
      </c>
      <c r="T29" s="512" t="s">
        <v>621</v>
      </c>
      <c r="U29" s="246">
        <f t="shared" si="4"/>
        <v>12.53</v>
      </c>
      <c r="V29" s="245" t="s">
        <v>621</v>
      </c>
      <c r="W29" s="245" t="s">
        <v>621</v>
      </c>
      <c r="X29" s="350">
        <v>0</v>
      </c>
      <c r="Y29" s="245" t="s">
        <v>621</v>
      </c>
      <c r="Z29" s="245" t="s">
        <v>621</v>
      </c>
      <c r="AA29" s="246" t="str">
        <f t="shared" si="5"/>
        <v>нд</v>
      </c>
      <c r="AB29" s="246" t="s">
        <v>621</v>
      </c>
      <c r="AC29" s="245" t="s">
        <v>621</v>
      </c>
      <c r="AD29" s="245" t="s">
        <v>621</v>
      </c>
      <c r="AE29" s="245">
        <f t="shared" ref="AE29:AE36" si="13">X29</f>
        <v>0</v>
      </c>
      <c r="AF29" s="245" t="s">
        <v>621</v>
      </c>
      <c r="AG29" s="509" t="s">
        <v>621</v>
      </c>
      <c r="AH29" s="500" t="s">
        <v>621</v>
      </c>
      <c r="AI29" s="246">
        <v>12.53</v>
      </c>
      <c r="AJ29" s="245" t="s">
        <v>621</v>
      </c>
      <c r="AK29" s="245" t="s">
        <v>621</v>
      </c>
      <c r="AL29" s="262">
        <f>'Ф1 2021'!N52</f>
        <v>3</v>
      </c>
      <c r="AM29" s="245" t="s">
        <v>621</v>
      </c>
      <c r="AN29" s="245" t="s">
        <v>621</v>
      </c>
      <c r="AO29" s="246" t="str">
        <f t="shared" si="6"/>
        <v>нд</v>
      </c>
      <c r="AP29" s="246">
        <f>'3 (цены без НДС)'!AN27</f>
        <v>20.170000000000002</v>
      </c>
      <c r="AQ29" s="245" t="s">
        <v>621</v>
      </c>
      <c r="AR29" s="245" t="s">
        <v>621</v>
      </c>
      <c r="AS29" s="245">
        <f>'Ф1 2021'!O52</f>
        <v>7.1050000000000004</v>
      </c>
      <c r="AT29" s="245" t="s">
        <v>621</v>
      </c>
      <c r="AU29" s="509" t="s">
        <v>621</v>
      </c>
      <c r="AV29" s="512" t="s">
        <v>621</v>
      </c>
      <c r="AW29" s="500">
        <v>0</v>
      </c>
      <c r="AX29" s="245" t="s">
        <v>621</v>
      </c>
      <c r="AY29" s="245" t="s">
        <v>621</v>
      </c>
      <c r="AZ29" s="245">
        <v>0</v>
      </c>
      <c r="BA29" s="245" t="s">
        <v>621</v>
      </c>
      <c r="BB29" s="245" t="s">
        <v>621</v>
      </c>
      <c r="BC29" s="246" t="str">
        <f t="shared" si="8"/>
        <v>нд</v>
      </c>
      <c r="BD29" s="245">
        <f t="shared" si="2"/>
        <v>0</v>
      </c>
      <c r="BE29" s="245" t="s">
        <v>621</v>
      </c>
      <c r="BF29" s="245" t="s">
        <v>621</v>
      </c>
      <c r="BG29" s="245">
        <f t="shared" si="9"/>
        <v>0</v>
      </c>
      <c r="BH29" s="245" t="s">
        <v>621</v>
      </c>
      <c r="BI29" s="497" t="s">
        <v>621</v>
      </c>
      <c r="BJ29" s="512" t="s">
        <v>621</v>
      </c>
      <c r="BK29" s="500" t="s">
        <v>621</v>
      </c>
      <c r="BL29" s="245" t="s">
        <v>621</v>
      </c>
      <c r="BM29" s="245" t="s">
        <v>621</v>
      </c>
      <c r="BN29" s="350">
        <v>0</v>
      </c>
      <c r="BO29" s="245" t="s">
        <v>621</v>
      </c>
      <c r="BP29" s="245" t="s">
        <v>621</v>
      </c>
      <c r="BQ29" s="245" t="s">
        <v>621</v>
      </c>
      <c r="BR29" s="245" t="s">
        <v>621</v>
      </c>
      <c r="BS29" s="245" t="s">
        <v>621</v>
      </c>
      <c r="BT29" s="245" t="s">
        <v>621</v>
      </c>
      <c r="BU29" s="245">
        <f t="shared" si="10"/>
        <v>0</v>
      </c>
      <c r="BV29" s="245" t="s">
        <v>621</v>
      </c>
      <c r="BW29" s="509" t="s">
        <v>621</v>
      </c>
      <c r="BX29" s="512" t="s">
        <v>621</v>
      </c>
      <c r="BY29" s="500">
        <v>0</v>
      </c>
      <c r="BZ29" s="245" t="s">
        <v>621</v>
      </c>
      <c r="CA29" s="245" t="s">
        <v>621</v>
      </c>
      <c r="CB29" s="245">
        <v>0</v>
      </c>
      <c r="CC29" s="245" t="s">
        <v>621</v>
      </c>
      <c r="CD29" s="497" t="s">
        <v>621</v>
      </c>
      <c r="CE29" s="245" t="s">
        <v>621</v>
      </c>
      <c r="CF29" s="245">
        <f t="shared" si="3"/>
        <v>0</v>
      </c>
      <c r="CG29" s="245" t="s">
        <v>621</v>
      </c>
      <c r="CH29" s="245" t="s">
        <v>621</v>
      </c>
      <c r="CI29" s="245">
        <f t="shared" si="11"/>
        <v>0</v>
      </c>
      <c r="CJ29" s="245" t="s">
        <v>621</v>
      </c>
      <c r="CK29" s="509" t="s">
        <v>621</v>
      </c>
      <c r="CL29" s="512" t="s">
        <v>621</v>
      </c>
      <c r="CM29" s="568">
        <v>12.53</v>
      </c>
      <c r="CN29" s="245" t="s">
        <v>621</v>
      </c>
      <c r="CO29" s="245" t="s">
        <v>621</v>
      </c>
      <c r="CP29" s="262">
        <v>3</v>
      </c>
      <c r="CQ29" s="245" t="s">
        <v>621</v>
      </c>
      <c r="CR29" s="245" t="s">
        <v>621</v>
      </c>
      <c r="CS29" s="512" t="s">
        <v>621</v>
      </c>
      <c r="CT29" s="246">
        <f>'3 (цены без НДС)'!P27</f>
        <v>20.170000000000002</v>
      </c>
      <c r="CU29" s="245" t="s">
        <v>621</v>
      </c>
      <c r="CV29" s="245" t="s">
        <v>621</v>
      </c>
      <c r="CW29" s="257">
        <f t="shared" si="12"/>
        <v>3</v>
      </c>
      <c r="CX29" s="245" t="s">
        <v>621</v>
      </c>
      <c r="CY29" s="509" t="s">
        <v>621</v>
      </c>
      <c r="CZ29" s="500" t="s">
        <v>621</v>
      </c>
    </row>
    <row r="30" spans="1:106" s="313" customFormat="1" ht="46.5" customHeight="1" x14ac:dyDescent="0.25">
      <c r="A30" s="1035" t="s">
        <v>863</v>
      </c>
      <c r="B30" s="968" t="s">
        <v>915</v>
      </c>
      <c r="C30" s="972" t="s">
        <v>1049</v>
      </c>
      <c r="D30" s="246">
        <v>20.86</v>
      </c>
      <c r="E30" s="1003">
        <f>'3 (цены без НДС)'!AN28</f>
        <v>0</v>
      </c>
      <c r="F30" s="512" t="s">
        <v>621</v>
      </c>
      <c r="G30" s="245" t="s">
        <v>621</v>
      </c>
      <c r="H30" s="245" t="s">
        <v>621</v>
      </c>
      <c r="I30" s="245" t="s">
        <v>621</v>
      </c>
      <c r="J30" s="245" t="s">
        <v>621</v>
      </c>
      <c r="K30" s="245" t="s">
        <v>621</v>
      </c>
      <c r="L30" s="245" t="s">
        <v>621</v>
      </c>
      <c r="M30" s="245" t="s">
        <v>621</v>
      </c>
      <c r="N30" s="245" t="s">
        <v>621</v>
      </c>
      <c r="O30" s="245" t="s">
        <v>621</v>
      </c>
      <c r="P30" s="245" t="s">
        <v>621</v>
      </c>
      <c r="Q30" s="245" t="s">
        <v>621</v>
      </c>
      <c r="R30" s="245" t="s">
        <v>621</v>
      </c>
      <c r="S30" s="509" t="s">
        <v>621</v>
      </c>
      <c r="T30" s="512" t="s">
        <v>621</v>
      </c>
      <c r="U30" s="246">
        <v>0</v>
      </c>
      <c r="V30" s="245" t="s">
        <v>621</v>
      </c>
      <c r="W30" s="245" t="s">
        <v>621</v>
      </c>
      <c r="X30" s="350">
        <v>0</v>
      </c>
      <c r="Y30" s="245" t="s">
        <v>621</v>
      </c>
      <c r="Z30" s="245" t="s">
        <v>621</v>
      </c>
      <c r="AA30" s="246" t="str">
        <f t="shared" si="5"/>
        <v>нд</v>
      </c>
      <c r="AB30" s="246" t="s">
        <v>621</v>
      </c>
      <c r="AC30" s="245" t="s">
        <v>621</v>
      </c>
      <c r="AD30" s="245" t="s">
        <v>621</v>
      </c>
      <c r="AE30" s="245">
        <f t="shared" si="13"/>
        <v>0</v>
      </c>
      <c r="AF30" s="245" t="s">
        <v>621</v>
      </c>
      <c r="AG30" s="509" t="s">
        <v>621</v>
      </c>
      <c r="AH30" s="500" t="s">
        <v>621</v>
      </c>
      <c r="AI30" s="246">
        <v>20.86</v>
      </c>
      <c r="AJ30" s="245" t="s">
        <v>621</v>
      </c>
      <c r="AK30" s="245" t="s">
        <v>621</v>
      </c>
      <c r="AL30" s="262">
        <f>'Ф1 2021'!N53</f>
        <v>2.3090000000000002</v>
      </c>
      <c r="AM30" s="245" t="s">
        <v>621</v>
      </c>
      <c r="AN30" s="245" t="s">
        <v>621</v>
      </c>
      <c r="AO30" s="246" t="str">
        <f t="shared" si="6"/>
        <v>нд</v>
      </c>
      <c r="AP30" s="246">
        <v>0</v>
      </c>
      <c r="AQ30" s="245" t="s">
        <v>621</v>
      </c>
      <c r="AR30" s="245" t="s">
        <v>621</v>
      </c>
      <c r="AS30" s="245">
        <v>0</v>
      </c>
      <c r="AT30" s="245" t="s">
        <v>621</v>
      </c>
      <c r="AU30" s="509" t="s">
        <v>621</v>
      </c>
      <c r="AV30" s="512" t="s">
        <v>621</v>
      </c>
      <c r="AW30" s="500">
        <v>0</v>
      </c>
      <c r="AX30" s="245" t="s">
        <v>621</v>
      </c>
      <c r="AY30" s="245" t="s">
        <v>621</v>
      </c>
      <c r="AZ30" s="245">
        <v>0</v>
      </c>
      <c r="BA30" s="245" t="s">
        <v>621</v>
      </c>
      <c r="BB30" s="245" t="s">
        <v>621</v>
      </c>
      <c r="BC30" s="246" t="str">
        <f t="shared" si="8"/>
        <v>нд</v>
      </c>
      <c r="BD30" s="245">
        <f t="shared" si="2"/>
        <v>0</v>
      </c>
      <c r="BE30" s="245" t="s">
        <v>621</v>
      </c>
      <c r="BF30" s="245" t="s">
        <v>621</v>
      </c>
      <c r="BG30" s="245">
        <f t="shared" si="9"/>
        <v>0</v>
      </c>
      <c r="BH30" s="245" t="s">
        <v>621</v>
      </c>
      <c r="BI30" s="497" t="s">
        <v>621</v>
      </c>
      <c r="BJ30" s="512" t="s">
        <v>621</v>
      </c>
      <c r="BK30" s="500" t="s">
        <v>621</v>
      </c>
      <c r="BL30" s="245" t="s">
        <v>621</v>
      </c>
      <c r="BM30" s="245" t="s">
        <v>621</v>
      </c>
      <c r="BN30" s="350">
        <v>0</v>
      </c>
      <c r="BO30" s="245" t="s">
        <v>621</v>
      </c>
      <c r="BP30" s="245" t="s">
        <v>621</v>
      </c>
      <c r="BQ30" s="245" t="s">
        <v>621</v>
      </c>
      <c r="BR30" s="245" t="s">
        <v>621</v>
      </c>
      <c r="BS30" s="245" t="s">
        <v>621</v>
      </c>
      <c r="BT30" s="245" t="s">
        <v>621</v>
      </c>
      <c r="BU30" s="245">
        <f t="shared" si="10"/>
        <v>0</v>
      </c>
      <c r="BV30" s="245" t="s">
        <v>621</v>
      </c>
      <c r="BW30" s="509" t="s">
        <v>621</v>
      </c>
      <c r="BX30" s="512" t="s">
        <v>621</v>
      </c>
      <c r="BY30" s="500">
        <v>0</v>
      </c>
      <c r="BZ30" s="245" t="s">
        <v>621</v>
      </c>
      <c r="CA30" s="245" t="s">
        <v>621</v>
      </c>
      <c r="CB30" s="245">
        <v>0</v>
      </c>
      <c r="CC30" s="245" t="s">
        <v>621</v>
      </c>
      <c r="CD30" s="497" t="s">
        <v>621</v>
      </c>
      <c r="CE30" s="245" t="s">
        <v>621</v>
      </c>
      <c r="CF30" s="245">
        <f t="shared" si="3"/>
        <v>0</v>
      </c>
      <c r="CG30" s="245" t="s">
        <v>621</v>
      </c>
      <c r="CH30" s="245" t="s">
        <v>621</v>
      </c>
      <c r="CI30" s="245">
        <f t="shared" si="11"/>
        <v>0</v>
      </c>
      <c r="CJ30" s="245" t="s">
        <v>621</v>
      </c>
      <c r="CK30" s="509" t="s">
        <v>621</v>
      </c>
      <c r="CL30" s="512" t="s">
        <v>621</v>
      </c>
      <c r="CM30" s="568">
        <v>20.86</v>
      </c>
      <c r="CN30" s="245" t="s">
        <v>621</v>
      </c>
      <c r="CO30" s="245" t="s">
        <v>621</v>
      </c>
      <c r="CP30" s="262">
        <v>2.3090000000000002</v>
      </c>
      <c r="CQ30" s="245" t="s">
        <v>621</v>
      </c>
      <c r="CR30" s="245" t="s">
        <v>621</v>
      </c>
      <c r="CS30" s="512" t="s">
        <v>621</v>
      </c>
      <c r="CT30" s="246">
        <f>'3 (цены без НДС)'!P28</f>
        <v>0</v>
      </c>
      <c r="CU30" s="245" t="s">
        <v>621</v>
      </c>
      <c r="CV30" s="245" t="s">
        <v>621</v>
      </c>
      <c r="CW30" s="257">
        <v>0</v>
      </c>
      <c r="CX30" s="245" t="s">
        <v>621</v>
      </c>
      <c r="CY30" s="509" t="s">
        <v>621</v>
      </c>
      <c r="CZ30" s="500" t="s">
        <v>621</v>
      </c>
      <c r="DA30" s="914"/>
      <c r="DB30" s="914"/>
    </row>
    <row r="31" spans="1:106" s="313" customFormat="1" ht="52.5" customHeight="1" x14ac:dyDescent="0.25">
      <c r="A31" s="1035" t="s">
        <v>864</v>
      </c>
      <c r="B31" s="968" t="s">
        <v>818</v>
      </c>
      <c r="C31" s="972" t="s">
        <v>1050</v>
      </c>
      <c r="D31" s="246">
        <v>5.21</v>
      </c>
      <c r="E31" s="1003">
        <f>'3 (цены без НДС)'!AN29</f>
        <v>5.47</v>
      </c>
      <c r="F31" s="512" t="s">
        <v>621</v>
      </c>
      <c r="G31" s="245" t="s">
        <v>621</v>
      </c>
      <c r="H31" s="245" t="s">
        <v>621</v>
      </c>
      <c r="I31" s="245" t="s">
        <v>621</v>
      </c>
      <c r="J31" s="245" t="s">
        <v>621</v>
      </c>
      <c r="K31" s="245" t="s">
        <v>621</v>
      </c>
      <c r="L31" s="245" t="s">
        <v>621</v>
      </c>
      <c r="M31" s="245" t="s">
        <v>621</v>
      </c>
      <c r="N31" s="245" t="s">
        <v>621</v>
      </c>
      <c r="O31" s="245" t="s">
        <v>621</v>
      </c>
      <c r="P31" s="245" t="s">
        <v>621</v>
      </c>
      <c r="Q31" s="245" t="s">
        <v>621</v>
      </c>
      <c r="R31" s="245" t="s">
        <v>621</v>
      </c>
      <c r="S31" s="509" t="s">
        <v>621</v>
      </c>
      <c r="T31" s="512" t="s">
        <v>621</v>
      </c>
      <c r="U31" s="246">
        <f t="shared" si="4"/>
        <v>5.21</v>
      </c>
      <c r="V31" s="245" t="s">
        <v>621</v>
      </c>
      <c r="W31" s="245" t="s">
        <v>621</v>
      </c>
      <c r="X31" s="350">
        <v>0</v>
      </c>
      <c r="Y31" s="245" t="s">
        <v>621</v>
      </c>
      <c r="Z31" s="245" t="s">
        <v>621</v>
      </c>
      <c r="AA31" s="246" t="str">
        <f t="shared" si="5"/>
        <v>нд</v>
      </c>
      <c r="AB31" s="246" t="s">
        <v>621</v>
      </c>
      <c r="AC31" s="245" t="s">
        <v>621</v>
      </c>
      <c r="AD31" s="245" t="s">
        <v>621</v>
      </c>
      <c r="AE31" s="245">
        <f t="shared" si="13"/>
        <v>0</v>
      </c>
      <c r="AF31" s="245" t="s">
        <v>621</v>
      </c>
      <c r="AG31" s="509" t="s">
        <v>621</v>
      </c>
      <c r="AH31" s="500" t="s">
        <v>621</v>
      </c>
      <c r="AI31" s="245">
        <v>0</v>
      </c>
      <c r="AJ31" s="245" t="s">
        <v>621</v>
      </c>
      <c r="AK31" s="245" t="s">
        <v>621</v>
      </c>
      <c r="AL31" s="245">
        <v>0</v>
      </c>
      <c r="AM31" s="245" t="s">
        <v>621</v>
      </c>
      <c r="AN31" s="245" t="s">
        <v>621</v>
      </c>
      <c r="AO31" s="246" t="str">
        <f t="shared" si="6"/>
        <v>нд</v>
      </c>
      <c r="AP31" s="246">
        <v>0</v>
      </c>
      <c r="AQ31" s="245" t="s">
        <v>621</v>
      </c>
      <c r="AR31" s="245" t="s">
        <v>621</v>
      </c>
      <c r="AS31" s="245">
        <f t="shared" si="7"/>
        <v>0</v>
      </c>
      <c r="AT31" s="245" t="s">
        <v>621</v>
      </c>
      <c r="AU31" s="509" t="s">
        <v>621</v>
      </c>
      <c r="AV31" s="512" t="s">
        <v>621</v>
      </c>
      <c r="AW31" s="568">
        <v>5.21</v>
      </c>
      <c r="AX31" s="245" t="s">
        <v>621</v>
      </c>
      <c r="AY31" s="245" t="s">
        <v>621</v>
      </c>
      <c r="AZ31" s="262">
        <v>1.3080000000000001</v>
      </c>
      <c r="BA31" s="245" t="s">
        <v>621</v>
      </c>
      <c r="BB31" s="245" t="s">
        <v>621</v>
      </c>
      <c r="BC31" s="246" t="str">
        <f t="shared" si="8"/>
        <v>нд</v>
      </c>
      <c r="BD31" s="246">
        <f>'3 (цены без НДС)'!AN29</f>
        <v>5.47</v>
      </c>
      <c r="BE31" s="245" t="s">
        <v>621</v>
      </c>
      <c r="BF31" s="245" t="s">
        <v>621</v>
      </c>
      <c r="BG31" s="245">
        <f t="shared" si="9"/>
        <v>1.3080000000000001</v>
      </c>
      <c r="BH31" s="245" t="s">
        <v>621</v>
      </c>
      <c r="BI31" s="497" t="s">
        <v>621</v>
      </c>
      <c r="BJ31" s="512" t="s">
        <v>621</v>
      </c>
      <c r="BK31" s="500" t="s">
        <v>621</v>
      </c>
      <c r="BL31" s="245" t="s">
        <v>621</v>
      </c>
      <c r="BM31" s="245" t="s">
        <v>621</v>
      </c>
      <c r="BN31" s="350">
        <v>0</v>
      </c>
      <c r="BO31" s="245" t="s">
        <v>621</v>
      </c>
      <c r="BP31" s="245" t="s">
        <v>621</v>
      </c>
      <c r="BQ31" s="245" t="s">
        <v>621</v>
      </c>
      <c r="BR31" s="245" t="s">
        <v>621</v>
      </c>
      <c r="BS31" s="245" t="s">
        <v>621</v>
      </c>
      <c r="BT31" s="245" t="s">
        <v>621</v>
      </c>
      <c r="BU31" s="245">
        <f t="shared" si="10"/>
        <v>0</v>
      </c>
      <c r="BV31" s="245" t="s">
        <v>621</v>
      </c>
      <c r="BW31" s="509" t="s">
        <v>621</v>
      </c>
      <c r="BX31" s="512" t="s">
        <v>621</v>
      </c>
      <c r="BY31" s="500">
        <v>0</v>
      </c>
      <c r="BZ31" s="245" t="s">
        <v>621</v>
      </c>
      <c r="CA31" s="245" t="s">
        <v>621</v>
      </c>
      <c r="CB31" s="245">
        <v>0</v>
      </c>
      <c r="CC31" s="245" t="s">
        <v>621</v>
      </c>
      <c r="CD31" s="497" t="s">
        <v>621</v>
      </c>
      <c r="CE31" s="245" t="s">
        <v>621</v>
      </c>
      <c r="CF31" s="245">
        <f t="shared" si="3"/>
        <v>0</v>
      </c>
      <c r="CG31" s="245" t="s">
        <v>621</v>
      </c>
      <c r="CH31" s="245" t="s">
        <v>621</v>
      </c>
      <c r="CI31" s="245">
        <f t="shared" si="11"/>
        <v>0</v>
      </c>
      <c r="CJ31" s="245" t="s">
        <v>621</v>
      </c>
      <c r="CK31" s="509" t="s">
        <v>621</v>
      </c>
      <c r="CL31" s="512" t="s">
        <v>621</v>
      </c>
      <c r="CM31" s="568">
        <v>5.21</v>
      </c>
      <c r="CN31" s="245" t="s">
        <v>621</v>
      </c>
      <c r="CO31" s="245" t="s">
        <v>621</v>
      </c>
      <c r="CP31" s="262">
        <v>1.3080000000000001</v>
      </c>
      <c r="CQ31" s="245" t="s">
        <v>621</v>
      </c>
      <c r="CR31" s="245" t="s">
        <v>621</v>
      </c>
      <c r="CS31" s="512" t="s">
        <v>621</v>
      </c>
      <c r="CT31" s="246">
        <f>'3 (цены без НДС)'!P29</f>
        <v>5.47</v>
      </c>
      <c r="CU31" s="245" t="s">
        <v>621</v>
      </c>
      <c r="CV31" s="245" t="s">
        <v>621</v>
      </c>
      <c r="CW31" s="257">
        <f t="shared" si="12"/>
        <v>1.3080000000000001</v>
      </c>
      <c r="CX31" s="245" t="s">
        <v>621</v>
      </c>
      <c r="CY31" s="509" t="s">
        <v>621</v>
      </c>
      <c r="CZ31" s="500" t="s">
        <v>621</v>
      </c>
    </row>
    <row r="32" spans="1:106" s="313" customFormat="1" ht="69.75" customHeight="1" x14ac:dyDescent="0.25">
      <c r="A32" s="1035" t="s">
        <v>868</v>
      </c>
      <c r="B32" s="968" t="s">
        <v>870</v>
      </c>
      <c r="C32" s="972" t="s">
        <v>1051</v>
      </c>
      <c r="D32" s="246">
        <v>5.51</v>
      </c>
      <c r="E32" s="1003">
        <f>'3 (цены без НДС)'!AN30</f>
        <v>0</v>
      </c>
      <c r="F32" s="512" t="s">
        <v>621</v>
      </c>
      <c r="G32" s="245" t="s">
        <v>621</v>
      </c>
      <c r="H32" s="245" t="s">
        <v>621</v>
      </c>
      <c r="I32" s="245" t="s">
        <v>621</v>
      </c>
      <c r="J32" s="245" t="s">
        <v>621</v>
      </c>
      <c r="K32" s="245" t="s">
        <v>621</v>
      </c>
      <c r="L32" s="245" t="s">
        <v>621</v>
      </c>
      <c r="M32" s="245" t="s">
        <v>621</v>
      </c>
      <c r="N32" s="245" t="s">
        <v>621</v>
      </c>
      <c r="O32" s="245" t="s">
        <v>621</v>
      </c>
      <c r="P32" s="245" t="s">
        <v>621</v>
      </c>
      <c r="Q32" s="245" t="s">
        <v>621</v>
      </c>
      <c r="R32" s="245" t="s">
        <v>621</v>
      </c>
      <c r="S32" s="509" t="s">
        <v>621</v>
      </c>
      <c r="T32" s="512" t="s">
        <v>621</v>
      </c>
      <c r="U32" s="246">
        <f t="shared" si="4"/>
        <v>5.51</v>
      </c>
      <c r="V32" s="245" t="s">
        <v>621</v>
      </c>
      <c r="W32" s="245" t="s">
        <v>621</v>
      </c>
      <c r="X32" s="350">
        <v>0</v>
      </c>
      <c r="Y32" s="245" t="s">
        <v>621</v>
      </c>
      <c r="Z32" s="245" t="s">
        <v>621</v>
      </c>
      <c r="AA32" s="246" t="str">
        <f t="shared" si="5"/>
        <v>нд</v>
      </c>
      <c r="AB32" s="246" t="s">
        <v>621</v>
      </c>
      <c r="AC32" s="245" t="s">
        <v>621</v>
      </c>
      <c r="AD32" s="245" t="s">
        <v>621</v>
      </c>
      <c r="AE32" s="245">
        <f t="shared" si="13"/>
        <v>0</v>
      </c>
      <c r="AF32" s="245" t="s">
        <v>621</v>
      </c>
      <c r="AG32" s="509" t="s">
        <v>621</v>
      </c>
      <c r="AH32" s="500" t="s">
        <v>621</v>
      </c>
      <c r="AI32" s="245">
        <v>0</v>
      </c>
      <c r="AJ32" s="245" t="s">
        <v>621</v>
      </c>
      <c r="AK32" s="245" t="s">
        <v>621</v>
      </c>
      <c r="AL32" s="245">
        <v>0</v>
      </c>
      <c r="AM32" s="245" t="s">
        <v>621</v>
      </c>
      <c r="AN32" s="245" t="s">
        <v>621</v>
      </c>
      <c r="AO32" s="246" t="str">
        <f t="shared" si="6"/>
        <v>нд</v>
      </c>
      <c r="AP32" s="246">
        <v>0</v>
      </c>
      <c r="AQ32" s="245" t="s">
        <v>621</v>
      </c>
      <c r="AR32" s="245" t="s">
        <v>621</v>
      </c>
      <c r="AS32" s="245">
        <f t="shared" si="7"/>
        <v>0</v>
      </c>
      <c r="AT32" s="245" t="s">
        <v>621</v>
      </c>
      <c r="AU32" s="509" t="s">
        <v>621</v>
      </c>
      <c r="AV32" s="512" t="s">
        <v>621</v>
      </c>
      <c r="AW32" s="568">
        <v>5.51</v>
      </c>
      <c r="AX32" s="245" t="s">
        <v>621</v>
      </c>
      <c r="AY32" s="245" t="s">
        <v>621</v>
      </c>
      <c r="AZ32" s="262">
        <v>2.5670000000000002</v>
      </c>
      <c r="BA32" s="245" t="s">
        <v>621</v>
      </c>
      <c r="BB32" s="245" t="s">
        <v>621</v>
      </c>
      <c r="BC32" s="246" t="str">
        <f t="shared" si="8"/>
        <v>нд</v>
      </c>
      <c r="BD32" s="245">
        <v>0</v>
      </c>
      <c r="BE32" s="245" t="s">
        <v>621</v>
      </c>
      <c r="BF32" s="245" t="s">
        <v>621</v>
      </c>
      <c r="BG32" s="245">
        <v>0</v>
      </c>
      <c r="BH32" s="245" t="s">
        <v>621</v>
      </c>
      <c r="BI32" s="497" t="s">
        <v>621</v>
      </c>
      <c r="BJ32" s="512" t="s">
        <v>621</v>
      </c>
      <c r="BK32" s="500" t="s">
        <v>621</v>
      </c>
      <c r="BL32" s="245" t="s">
        <v>621</v>
      </c>
      <c r="BM32" s="245" t="s">
        <v>621</v>
      </c>
      <c r="BN32" s="350">
        <v>0</v>
      </c>
      <c r="BO32" s="245" t="s">
        <v>621</v>
      </c>
      <c r="BP32" s="245" t="s">
        <v>621</v>
      </c>
      <c r="BQ32" s="245" t="s">
        <v>621</v>
      </c>
      <c r="BR32" s="245" t="s">
        <v>621</v>
      </c>
      <c r="BS32" s="245" t="s">
        <v>621</v>
      </c>
      <c r="BT32" s="245" t="s">
        <v>621</v>
      </c>
      <c r="BU32" s="245">
        <f t="shared" si="10"/>
        <v>0</v>
      </c>
      <c r="BV32" s="245" t="s">
        <v>621</v>
      </c>
      <c r="BW32" s="509" t="s">
        <v>621</v>
      </c>
      <c r="BX32" s="512" t="s">
        <v>621</v>
      </c>
      <c r="BY32" s="500">
        <v>0</v>
      </c>
      <c r="BZ32" s="245" t="s">
        <v>621</v>
      </c>
      <c r="CA32" s="245" t="s">
        <v>621</v>
      </c>
      <c r="CB32" s="245">
        <v>0</v>
      </c>
      <c r="CC32" s="245" t="s">
        <v>621</v>
      </c>
      <c r="CD32" s="497" t="s">
        <v>621</v>
      </c>
      <c r="CE32" s="245" t="s">
        <v>621</v>
      </c>
      <c r="CF32" s="245">
        <f t="shared" si="3"/>
        <v>0</v>
      </c>
      <c r="CG32" s="245" t="s">
        <v>621</v>
      </c>
      <c r="CH32" s="245" t="s">
        <v>621</v>
      </c>
      <c r="CI32" s="245">
        <f t="shared" si="11"/>
        <v>0</v>
      </c>
      <c r="CJ32" s="245" t="s">
        <v>621</v>
      </c>
      <c r="CK32" s="509" t="s">
        <v>621</v>
      </c>
      <c r="CL32" s="512" t="s">
        <v>621</v>
      </c>
      <c r="CM32" s="568">
        <v>5.51</v>
      </c>
      <c r="CN32" s="245" t="s">
        <v>621</v>
      </c>
      <c r="CO32" s="245" t="s">
        <v>621</v>
      </c>
      <c r="CP32" s="262">
        <v>2.5670000000000002</v>
      </c>
      <c r="CQ32" s="245" t="s">
        <v>621</v>
      </c>
      <c r="CR32" s="245" t="s">
        <v>621</v>
      </c>
      <c r="CS32" s="512" t="s">
        <v>621</v>
      </c>
      <c r="CT32" s="246">
        <f>'3 (цены без НДС)'!P30</f>
        <v>0</v>
      </c>
      <c r="CU32" s="245" t="s">
        <v>621</v>
      </c>
      <c r="CV32" s="245" t="s">
        <v>621</v>
      </c>
      <c r="CW32" s="257">
        <f t="shared" si="12"/>
        <v>2.5670000000000002</v>
      </c>
      <c r="CX32" s="245" t="s">
        <v>621</v>
      </c>
      <c r="CY32" s="509" t="s">
        <v>621</v>
      </c>
      <c r="CZ32" s="500" t="s">
        <v>621</v>
      </c>
    </row>
    <row r="33" spans="1:104" s="313" customFormat="1" ht="126.75" customHeight="1" x14ac:dyDescent="0.25">
      <c r="A33" s="1035" t="s">
        <v>869</v>
      </c>
      <c r="B33" s="968" t="s">
        <v>876</v>
      </c>
      <c r="C33" s="972" t="s">
        <v>1052</v>
      </c>
      <c r="D33" s="246">
        <v>47.19</v>
      </c>
      <c r="E33" s="1003">
        <f>'3 (цены без НДС)'!AN31</f>
        <v>50.32</v>
      </c>
      <c r="F33" s="512" t="s">
        <v>621</v>
      </c>
      <c r="G33" s="245" t="s">
        <v>621</v>
      </c>
      <c r="H33" s="245" t="s">
        <v>621</v>
      </c>
      <c r="I33" s="245" t="s">
        <v>621</v>
      </c>
      <c r="J33" s="245" t="s">
        <v>621</v>
      </c>
      <c r="K33" s="245" t="s">
        <v>621</v>
      </c>
      <c r="L33" s="245" t="s">
        <v>621</v>
      </c>
      <c r="M33" s="245" t="s">
        <v>621</v>
      </c>
      <c r="N33" s="245" t="s">
        <v>621</v>
      </c>
      <c r="O33" s="245" t="s">
        <v>621</v>
      </c>
      <c r="P33" s="245" t="s">
        <v>621</v>
      </c>
      <c r="Q33" s="245" t="s">
        <v>621</v>
      </c>
      <c r="R33" s="245" t="s">
        <v>621</v>
      </c>
      <c r="S33" s="509" t="s">
        <v>621</v>
      </c>
      <c r="T33" s="512" t="s">
        <v>621</v>
      </c>
      <c r="U33" s="246">
        <f t="shared" si="4"/>
        <v>47.19</v>
      </c>
      <c r="V33" s="245" t="s">
        <v>621</v>
      </c>
      <c r="W33" s="245" t="s">
        <v>621</v>
      </c>
      <c r="X33" s="350">
        <v>0</v>
      </c>
      <c r="Y33" s="245" t="s">
        <v>621</v>
      </c>
      <c r="Z33" s="245" t="s">
        <v>621</v>
      </c>
      <c r="AA33" s="246" t="str">
        <f t="shared" si="5"/>
        <v>нд</v>
      </c>
      <c r="AB33" s="246" t="s">
        <v>621</v>
      </c>
      <c r="AC33" s="245" t="s">
        <v>621</v>
      </c>
      <c r="AD33" s="245" t="s">
        <v>621</v>
      </c>
      <c r="AE33" s="245">
        <f t="shared" si="13"/>
        <v>0</v>
      </c>
      <c r="AF33" s="245" t="s">
        <v>621</v>
      </c>
      <c r="AG33" s="509" t="s">
        <v>621</v>
      </c>
      <c r="AH33" s="500" t="s">
        <v>621</v>
      </c>
      <c r="AI33" s="245">
        <v>0</v>
      </c>
      <c r="AJ33" s="245" t="s">
        <v>621</v>
      </c>
      <c r="AK33" s="245" t="s">
        <v>621</v>
      </c>
      <c r="AL33" s="245">
        <v>0</v>
      </c>
      <c r="AM33" s="245" t="s">
        <v>621</v>
      </c>
      <c r="AN33" s="245" t="s">
        <v>621</v>
      </c>
      <c r="AO33" s="246" t="str">
        <f t="shared" si="6"/>
        <v>нд</v>
      </c>
      <c r="AP33" s="246">
        <v>0</v>
      </c>
      <c r="AQ33" s="245" t="s">
        <v>621</v>
      </c>
      <c r="AR33" s="245" t="s">
        <v>621</v>
      </c>
      <c r="AS33" s="245">
        <f t="shared" si="7"/>
        <v>0</v>
      </c>
      <c r="AT33" s="245" t="s">
        <v>621</v>
      </c>
      <c r="AU33" s="509" t="s">
        <v>621</v>
      </c>
      <c r="AV33" s="512" t="s">
        <v>621</v>
      </c>
      <c r="AW33" s="568">
        <v>0</v>
      </c>
      <c r="AX33" s="245" t="s">
        <v>621</v>
      </c>
      <c r="AY33" s="245" t="s">
        <v>621</v>
      </c>
      <c r="AZ33" s="245">
        <v>0</v>
      </c>
      <c r="BA33" s="245" t="s">
        <v>621</v>
      </c>
      <c r="BB33" s="245" t="s">
        <v>621</v>
      </c>
      <c r="BC33" s="246" t="str">
        <f t="shared" si="8"/>
        <v>нд</v>
      </c>
      <c r="BD33" s="245">
        <f t="shared" si="2"/>
        <v>0</v>
      </c>
      <c r="BE33" s="245" t="s">
        <v>621</v>
      </c>
      <c r="BF33" s="245" t="s">
        <v>621</v>
      </c>
      <c r="BG33" s="245">
        <f t="shared" si="9"/>
        <v>0</v>
      </c>
      <c r="BH33" s="245" t="s">
        <v>621</v>
      </c>
      <c r="BI33" s="497" t="s">
        <v>621</v>
      </c>
      <c r="BJ33" s="512" t="s">
        <v>621</v>
      </c>
      <c r="BK33" s="568">
        <v>47.19</v>
      </c>
      <c r="BL33" s="245" t="s">
        <v>621</v>
      </c>
      <c r="BM33" s="245" t="s">
        <v>621</v>
      </c>
      <c r="BN33" s="262">
        <v>4.8949999999999996</v>
      </c>
      <c r="BO33" s="245" t="s">
        <v>621</v>
      </c>
      <c r="BP33" s="245" t="s">
        <v>621</v>
      </c>
      <c r="BQ33" s="245" t="s">
        <v>621</v>
      </c>
      <c r="BR33" s="245">
        <f>BK33</f>
        <v>47.19</v>
      </c>
      <c r="BS33" s="245" t="s">
        <v>621</v>
      </c>
      <c r="BT33" s="245" t="s">
        <v>621</v>
      </c>
      <c r="BU33" s="245">
        <f t="shared" si="10"/>
        <v>4.8949999999999996</v>
      </c>
      <c r="BV33" s="245" t="s">
        <v>621</v>
      </c>
      <c r="BW33" s="509" t="s">
        <v>621</v>
      </c>
      <c r="BX33" s="512" t="s">
        <v>621</v>
      </c>
      <c r="BY33" s="500">
        <v>0</v>
      </c>
      <c r="BZ33" s="245" t="s">
        <v>621</v>
      </c>
      <c r="CA33" s="245" t="s">
        <v>621</v>
      </c>
      <c r="CB33" s="245">
        <v>0</v>
      </c>
      <c r="CC33" s="245" t="s">
        <v>621</v>
      </c>
      <c r="CD33" s="497" t="s">
        <v>621</v>
      </c>
      <c r="CE33" s="245" t="s">
        <v>621</v>
      </c>
      <c r="CF33" s="245">
        <f t="shared" si="3"/>
        <v>0</v>
      </c>
      <c r="CG33" s="245" t="s">
        <v>621</v>
      </c>
      <c r="CH33" s="245" t="s">
        <v>621</v>
      </c>
      <c r="CI33" s="245">
        <f t="shared" si="11"/>
        <v>0</v>
      </c>
      <c r="CJ33" s="245" t="s">
        <v>621</v>
      </c>
      <c r="CK33" s="509" t="s">
        <v>621</v>
      </c>
      <c r="CL33" s="512" t="s">
        <v>621</v>
      </c>
      <c r="CM33" s="568">
        <v>47.19</v>
      </c>
      <c r="CN33" s="245" t="s">
        <v>621</v>
      </c>
      <c r="CO33" s="245" t="s">
        <v>621</v>
      </c>
      <c r="CP33" s="262">
        <v>4.8949999999999996</v>
      </c>
      <c r="CQ33" s="245" t="s">
        <v>621</v>
      </c>
      <c r="CR33" s="245" t="s">
        <v>621</v>
      </c>
      <c r="CS33" s="512" t="s">
        <v>621</v>
      </c>
      <c r="CT33" s="246">
        <f>'3 (цены без НДС)'!P31</f>
        <v>50.32</v>
      </c>
      <c r="CU33" s="245" t="s">
        <v>621</v>
      </c>
      <c r="CV33" s="245" t="s">
        <v>621</v>
      </c>
      <c r="CW33" s="257">
        <f t="shared" si="12"/>
        <v>4.8949999999999996</v>
      </c>
      <c r="CX33" s="245" t="s">
        <v>621</v>
      </c>
      <c r="CY33" s="509" t="s">
        <v>621</v>
      </c>
      <c r="CZ33" s="500" t="s">
        <v>621</v>
      </c>
    </row>
    <row r="34" spans="1:104" s="313" customFormat="1" ht="47.25" customHeight="1" x14ac:dyDescent="0.25">
      <c r="A34" s="1035" t="s">
        <v>874</v>
      </c>
      <c r="B34" s="968" t="s">
        <v>821</v>
      </c>
      <c r="C34" s="972" t="s">
        <v>1053</v>
      </c>
      <c r="D34" s="246">
        <v>13.93</v>
      </c>
      <c r="E34" s="1003">
        <f>'3 (цены без НДС)'!AN32</f>
        <v>15.12</v>
      </c>
      <c r="F34" s="512" t="s">
        <v>621</v>
      </c>
      <c r="G34" s="245" t="s">
        <v>621</v>
      </c>
      <c r="H34" s="245" t="s">
        <v>621</v>
      </c>
      <c r="I34" s="245" t="s">
        <v>621</v>
      </c>
      <c r="J34" s="245" t="s">
        <v>621</v>
      </c>
      <c r="K34" s="245" t="s">
        <v>621</v>
      </c>
      <c r="L34" s="245" t="s">
        <v>621</v>
      </c>
      <c r="M34" s="245" t="s">
        <v>621</v>
      </c>
      <c r="N34" s="245" t="s">
        <v>621</v>
      </c>
      <c r="O34" s="245" t="s">
        <v>621</v>
      </c>
      <c r="P34" s="245" t="s">
        <v>621</v>
      </c>
      <c r="Q34" s="245" t="s">
        <v>621</v>
      </c>
      <c r="R34" s="245" t="s">
        <v>621</v>
      </c>
      <c r="S34" s="509" t="s">
        <v>621</v>
      </c>
      <c r="T34" s="512" t="s">
        <v>621</v>
      </c>
      <c r="U34" s="246">
        <f t="shared" si="4"/>
        <v>13.93</v>
      </c>
      <c r="V34" s="245" t="s">
        <v>621</v>
      </c>
      <c r="W34" s="245" t="s">
        <v>621</v>
      </c>
      <c r="X34" s="350">
        <v>0</v>
      </c>
      <c r="Y34" s="245" t="s">
        <v>621</v>
      </c>
      <c r="Z34" s="245" t="s">
        <v>621</v>
      </c>
      <c r="AA34" s="246" t="str">
        <f t="shared" si="5"/>
        <v>нд</v>
      </c>
      <c r="AB34" s="246" t="s">
        <v>621</v>
      </c>
      <c r="AC34" s="245" t="s">
        <v>621</v>
      </c>
      <c r="AD34" s="245" t="s">
        <v>621</v>
      </c>
      <c r="AE34" s="245">
        <f t="shared" si="13"/>
        <v>0</v>
      </c>
      <c r="AF34" s="245" t="s">
        <v>621</v>
      </c>
      <c r="AG34" s="509" t="s">
        <v>621</v>
      </c>
      <c r="AH34" s="500" t="s">
        <v>621</v>
      </c>
      <c r="AI34" s="245">
        <v>0</v>
      </c>
      <c r="AJ34" s="245" t="s">
        <v>621</v>
      </c>
      <c r="AK34" s="245" t="s">
        <v>621</v>
      </c>
      <c r="AL34" s="245">
        <v>0</v>
      </c>
      <c r="AM34" s="245" t="s">
        <v>621</v>
      </c>
      <c r="AN34" s="245" t="s">
        <v>621</v>
      </c>
      <c r="AO34" s="246" t="str">
        <f t="shared" si="6"/>
        <v>нд</v>
      </c>
      <c r="AP34" s="246">
        <v>0</v>
      </c>
      <c r="AQ34" s="245" t="s">
        <v>621</v>
      </c>
      <c r="AR34" s="245" t="s">
        <v>621</v>
      </c>
      <c r="AS34" s="245">
        <f t="shared" si="7"/>
        <v>0</v>
      </c>
      <c r="AT34" s="245" t="s">
        <v>621</v>
      </c>
      <c r="AU34" s="509" t="s">
        <v>621</v>
      </c>
      <c r="AV34" s="512" t="s">
        <v>621</v>
      </c>
      <c r="AW34" s="568">
        <v>0</v>
      </c>
      <c r="AX34" s="245" t="s">
        <v>621</v>
      </c>
      <c r="AY34" s="245" t="s">
        <v>621</v>
      </c>
      <c r="AZ34" s="245">
        <v>0</v>
      </c>
      <c r="BA34" s="245" t="s">
        <v>621</v>
      </c>
      <c r="BB34" s="245" t="s">
        <v>621</v>
      </c>
      <c r="BC34" s="246" t="str">
        <f t="shared" si="8"/>
        <v>нд</v>
      </c>
      <c r="BD34" s="245">
        <f t="shared" si="2"/>
        <v>0</v>
      </c>
      <c r="BE34" s="245" t="s">
        <v>621</v>
      </c>
      <c r="BF34" s="245" t="s">
        <v>621</v>
      </c>
      <c r="BG34" s="245">
        <f t="shared" si="9"/>
        <v>0</v>
      </c>
      <c r="BH34" s="245" t="s">
        <v>621</v>
      </c>
      <c r="BI34" s="497" t="s">
        <v>621</v>
      </c>
      <c r="BJ34" s="512" t="s">
        <v>621</v>
      </c>
      <c r="BK34" s="500" t="s">
        <v>621</v>
      </c>
      <c r="BL34" s="245" t="s">
        <v>621</v>
      </c>
      <c r="BM34" s="245" t="s">
        <v>621</v>
      </c>
      <c r="BN34" s="350">
        <v>0</v>
      </c>
      <c r="BO34" s="245" t="s">
        <v>621</v>
      </c>
      <c r="BP34" s="245" t="s">
        <v>621</v>
      </c>
      <c r="BQ34" s="245" t="s">
        <v>621</v>
      </c>
      <c r="BR34" s="245" t="s">
        <v>621</v>
      </c>
      <c r="BS34" s="245" t="s">
        <v>621</v>
      </c>
      <c r="BT34" s="245" t="s">
        <v>621</v>
      </c>
      <c r="BU34" s="245">
        <f t="shared" si="10"/>
        <v>0</v>
      </c>
      <c r="BV34" s="245" t="s">
        <v>621</v>
      </c>
      <c r="BW34" s="509" t="s">
        <v>621</v>
      </c>
      <c r="BX34" s="512" t="s">
        <v>621</v>
      </c>
      <c r="BY34" s="568">
        <v>13.93</v>
      </c>
      <c r="BZ34" s="245" t="s">
        <v>621</v>
      </c>
      <c r="CA34" s="245" t="s">
        <v>621</v>
      </c>
      <c r="CB34" s="262">
        <v>1.538</v>
      </c>
      <c r="CC34" s="245" t="s">
        <v>621</v>
      </c>
      <c r="CD34" s="497" t="s">
        <v>621</v>
      </c>
      <c r="CE34" s="245" t="s">
        <v>621</v>
      </c>
      <c r="CF34" s="245">
        <f t="shared" si="3"/>
        <v>13.93</v>
      </c>
      <c r="CG34" s="245" t="s">
        <v>621</v>
      </c>
      <c r="CH34" s="245" t="s">
        <v>621</v>
      </c>
      <c r="CI34" s="245">
        <f t="shared" si="11"/>
        <v>1.538</v>
      </c>
      <c r="CJ34" s="245" t="s">
        <v>621</v>
      </c>
      <c r="CK34" s="509" t="s">
        <v>621</v>
      </c>
      <c r="CL34" s="512" t="s">
        <v>621</v>
      </c>
      <c r="CM34" s="568">
        <v>13.93</v>
      </c>
      <c r="CN34" s="245" t="s">
        <v>621</v>
      </c>
      <c r="CO34" s="245" t="s">
        <v>621</v>
      </c>
      <c r="CP34" s="262">
        <v>1.538</v>
      </c>
      <c r="CQ34" s="245" t="s">
        <v>621</v>
      </c>
      <c r="CR34" s="245" t="s">
        <v>621</v>
      </c>
      <c r="CS34" s="512" t="s">
        <v>621</v>
      </c>
      <c r="CT34" s="246">
        <f>'3 (цены без НДС)'!P32</f>
        <v>15.12</v>
      </c>
      <c r="CU34" s="245" t="s">
        <v>621</v>
      </c>
      <c r="CV34" s="245" t="s">
        <v>621</v>
      </c>
      <c r="CW34" s="257">
        <f t="shared" si="12"/>
        <v>1.538</v>
      </c>
      <c r="CX34" s="245" t="s">
        <v>621</v>
      </c>
      <c r="CY34" s="509" t="s">
        <v>621</v>
      </c>
      <c r="CZ34" s="500" t="s">
        <v>621</v>
      </c>
    </row>
    <row r="35" spans="1:104" s="313" customFormat="1" ht="65.25" customHeight="1" x14ac:dyDescent="0.25">
      <c r="A35" s="1035" t="s">
        <v>875</v>
      </c>
      <c r="B35" s="968" t="s">
        <v>1042</v>
      </c>
      <c r="C35" s="972" t="s">
        <v>1054</v>
      </c>
      <c r="D35" s="246">
        <v>1.42</v>
      </c>
      <c r="E35" s="1003">
        <f>'3 (цены без НДС)'!AN33</f>
        <v>1.54</v>
      </c>
      <c r="F35" s="512" t="s">
        <v>621</v>
      </c>
      <c r="G35" s="245" t="s">
        <v>621</v>
      </c>
      <c r="H35" s="245" t="s">
        <v>621</v>
      </c>
      <c r="I35" s="245" t="s">
        <v>621</v>
      </c>
      <c r="J35" s="245" t="s">
        <v>621</v>
      </c>
      <c r="K35" s="245" t="s">
        <v>621</v>
      </c>
      <c r="L35" s="245" t="s">
        <v>621</v>
      </c>
      <c r="M35" s="245" t="s">
        <v>621</v>
      </c>
      <c r="N35" s="245" t="s">
        <v>621</v>
      </c>
      <c r="O35" s="245" t="s">
        <v>621</v>
      </c>
      <c r="P35" s="245" t="s">
        <v>621</v>
      </c>
      <c r="Q35" s="245" t="s">
        <v>621</v>
      </c>
      <c r="R35" s="245" t="s">
        <v>621</v>
      </c>
      <c r="S35" s="509" t="s">
        <v>621</v>
      </c>
      <c r="T35" s="512" t="s">
        <v>621</v>
      </c>
      <c r="U35" s="246">
        <f t="shared" si="4"/>
        <v>1.42</v>
      </c>
      <c r="V35" s="245" t="s">
        <v>621</v>
      </c>
      <c r="W35" s="245" t="s">
        <v>621</v>
      </c>
      <c r="X35" s="350">
        <v>0</v>
      </c>
      <c r="Y35" s="245" t="s">
        <v>621</v>
      </c>
      <c r="Z35" s="245" t="s">
        <v>621</v>
      </c>
      <c r="AA35" s="246" t="str">
        <f t="shared" si="5"/>
        <v>нд</v>
      </c>
      <c r="AB35" s="246" t="s">
        <v>621</v>
      </c>
      <c r="AC35" s="245" t="s">
        <v>621</v>
      </c>
      <c r="AD35" s="245" t="s">
        <v>621</v>
      </c>
      <c r="AE35" s="245">
        <f t="shared" si="13"/>
        <v>0</v>
      </c>
      <c r="AF35" s="245" t="s">
        <v>621</v>
      </c>
      <c r="AG35" s="509" t="s">
        <v>621</v>
      </c>
      <c r="AH35" s="500" t="s">
        <v>621</v>
      </c>
      <c r="AI35" s="245">
        <v>0</v>
      </c>
      <c r="AJ35" s="245" t="s">
        <v>621</v>
      </c>
      <c r="AK35" s="245" t="s">
        <v>621</v>
      </c>
      <c r="AL35" s="245">
        <v>0</v>
      </c>
      <c r="AM35" s="245" t="s">
        <v>621</v>
      </c>
      <c r="AN35" s="245" t="s">
        <v>621</v>
      </c>
      <c r="AO35" s="246" t="str">
        <f t="shared" si="6"/>
        <v>нд</v>
      </c>
      <c r="AP35" s="246">
        <v>0</v>
      </c>
      <c r="AQ35" s="245" t="s">
        <v>621</v>
      </c>
      <c r="AR35" s="245" t="s">
        <v>621</v>
      </c>
      <c r="AS35" s="245">
        <f t="shared" si="7"/>
        <v>0</v>
      </c>
      <c r="AT35" s="245" t="s">
        <v>621</v>
      </c>
      <c r="AU35" s="509" t="s">
        <v>621</v>
      </c>
      <c r="AV35" s="512" t="s">
        <v>621</v>
      </c>
      <c r="AW35" s="500">
        <v>0</v>
      </c>
      <c r="AX35" s="245" t="s">
        <v>621</v>
      </c>
      <c r="AY35" s="245" t="s">
        <v>621</v>
      </c>
      <c r="AZ35" s="245">
        <v>0</v>
      </c>
      <c r="BA35" s="245" t="s">
        <v>621</v>
      </c>
      <c r="BB35" s="245" t="s">
        <v>621</v>
      </c>
      <c r="BC35" s="246" t="str">
        <f t="shared" si="8"/>
        <v>нд</v>
      </c>
      <c r="BD35" s="245">
        <f t="shared" si="2"/>
        <v>0</v>
      </c>
      <c r="BE35" s="245" t="s">
        <v>621</v>
      </c>
      <c r="BF35" s="245" t="s">
        <v>621</v>
      </c>
      <c r="BG35" s="245">
        <f t="shared" si="9"/>
        <v>0</v>
      </c>
      <c r="BH35" s="245" t="s">
        <v>621</v>
      </c>
      <c r="BI35" s="497" t="s">
        <v>621</v>
      </c>
      <c r="BJ35" s="512" t="s">
        <v>621</v>
      </c>
      <c r="BK35" s="500" t="s">
        <v>621</v>
      </c>
      <c r="BL35" s="245" t="s">
        <v>621</v>
      </c>
      <c r="BM35" s="245" t="s">
        <v>621</v>
      </c>
      <c r="BN35" s="350">
        <v>0</v>
      </c>
      <c r="BO35" s="245" t="s">
        <v>621</v>
      </c>
      <c r="BP35" s="245" t="s">
        <v>621</v>
      </c>
      <c r="BQ35" s="245" t="s">
        <v>621</v>
      </c>
      <c r="BR35" s="245" t="s">
        <v>621</v>
      </c>
      <c r="BS35" s="245" t="s">
        <v>621</v>
      </c>
      <c r="BT35" s="245" t="s">
        <v>621</v>
      </c>
      <c r="BU35" s="245">
        <f t="shared" si="10"/>
        <v>0</v>
      </c>
      <c r="BV35" s="245" t="s">
        <v>621</v>
      </c>
      <c r="BW35" s="509" t="s">
        <v>621</v>
      </c>
      <c r="BX35" s="512" t="s">
        <v>621</v>
      </c>
      <c r="BY35" s="568">
        <v>1.42</v>
      </c>
      <c r="BZ35" s="245" t="s">
        <v>621</v>
      </c>
      <c r="CA35" s="245" t="s">
        <v>621</v>
      </c>
      <c r="CB35" s="262">
        <v>0.59499999999999997</v>
      </c>
      <c r="CC35" s="245" t="s">
        <v>621</v>
      </c>
      <c r="CD35" s="497" t="s">
        <v>621</v>
      </c>
      <c r="CE35" s="245" t="s">
        <v>621</v>
      </c>
      <c r="CF35" s="245">
        <f t="shared" si="3"/>
        <v>1.42</v>
      </c>
      <c r="CG35" s="245" t="s">
        <v>621</v>
      </c>
      <c r="CH35" s="245" t="s">
        <v>621</v>
      </c>
      <c r="CI35" s="245">
        <f t="shared" si="11"/>
        <v>0.59499999999999997</v>
      </c>
      <c r="CJ35" s="245" t="s">
        <v>621</v>
      </c>
      <c r="CK35" s="509" t="s">
        <v>621</v>
      </c>
      <c r="CL35" s="512" t="s">
        <v>621</v>
      </c>
      <c r="CM35" s="568">
        <v>1.42</v>
      </c>
      <c r="CN35" s="245" t="s">
        <v>621</v>
      </c>
      <c r="CO35" s="245" t="s">
        <v>621</v>
      </c>
      <c r="CP35" s="262">
        <v>0.59499999999999997</v>
      </c>
      <c r="CQ35" s="245" t="s">
        <v>621</v>
      </c>
      <c r="CR35" s="245" t="s">
        <v>621</v>
      </c>
      <c r="CS35" s="512" t="s">
        <v>621</v>
      </c>
      <c r="CT35" s="246">
        <f>'3 (цены без НДС)'!P33</f>
        <v>1.54</v>
      </c>
      <c r="CU35" s="245" t="s">
        <v>621</v>
      </c>
      <c r="CV35" s="245" t="s">
        <v>621</v>
      </c>
      <c r="CW35" s="257">
        <f t="shared" si="12"/>
        <v>0.59499999999999997</v>
      </c>
      <c r="CX35" s="245" t="s">
        <v>621</v>
      </c>
      <c r="CY35" s="509" t="s">
        <v>621</v>
      </c>
      <c r="CZ35" s="500" t="s">
        <v>621</v>
      </c>
    </row>
    <row r="36" spans="1:104" s="313" customFormat="1" ht="30.75" customHeight="1" x14ac:dyDescent="0.25">
      <c r="A36" s="1035" t="s">
        <v>884</v>
      </c>
      <c r="B36" s="968" t="s">
        <v>901</v>
      </c>
      <c r="C36" s="972" t="s">
        <v>1055</v>
      </c>
      <c r="D36" s="246">
        <v>10.7</v>
      </c>
      <c r="E36" s="1003">
        <f>'3 (цены без НДС)'!AN34</f>
        <v>11.61</v>
      </c>
      <c r="F36" s="512" t="s">
        <v>621</v>
      </c>
      <c r="G36" s="245" t="s">
        <v>621</v>
      </c>
      <c r="H36" s="245" t="s">
        <v>621</v>
      </c>
      <c r="I36" s="245" t="s">
        <v>621</v>
      </c>
      <c r="J36" s="245" t="s">
        <v>621</v>
      </c>
      <c r="K36" s="245" t="s">
        <v>621</v>
      </c>
      <c r="L36" s="245" t="s">
        <v>621</v>
      </c>
      <c r="M36" s="245" t="s">
        <v>621</v>
      </c>
      <c r="N36" s="245" t="s">
        <v>621</v>
      </c>
      <c r="O36" s="245" t="s">
        <v>621</v>
      </c>
      <c r="P36" s="245" t="s">
        <v>621</v>
      </c>
      <c r="Q36" s="245" t="s">
        <v>621</v>
      </c>
      <c r="R36" s="245" t="s">
        <v>621</v>
      </c>
      <c r="S36" s="509" t="s">
        <v>621</v>
      </c>
      <c r="T36" s="512" t="s">
        <v>621</v>
      </c>
      <c r="U36" s="246">
        <f t="shared" si="4"/>
        <v>10.7</v>
      </c>
      <c r="V36" s="245" t="s">
        <v>621</v>
      </c>
      <c r="W36" s="245" t="s">
        <v>621</v>
      </c>
      <c r="X36" s="350">
        <v>0</v>
      </c>
      <c r="Y36" s="245" t="s">
        <v>621</v>
      </c>
      <c r="Z36" s="245" t="s">
        <v>621</v>
      </c>
      <c r="AA36" s="246" t="str">
        <f t="shared" si="5"/>
        <v>нд</v>
      </c>
      <c r="AB36" s="246" t="s">
        <v>621</v>
      </c>
      <c r="AC36" s="245" t="s">
        <v>621</v>
      </c>
      <c r="AD36" s="245" t="s">
        <v>621</v>
      </c>
      <c r="AE36" s="245">
        <f t="shared" si="13"/>
        <v>0</v>
      </c>
      <c r="AF36" s="245" t="s">
        <v>621</v>
      </c>
      <c r="AG36" s="509" t="s">
        <v>621</v>
      </c>
      <c r="AH36" s="500" t="s">
        <v>621</v>
      </c>
      <c r="AI36" s="245">
        <v>0</v>
      </c>
      <c r="AJ36" s="245" t="s">
        <v>621</v>
      </c>
      <c r="AK36" s="245" t="s">
        <v>621</v>
      </c>
      <c r="AL36" s="245">
        <v>0</v>
      </c>
      <c r="AM36" s="245" t="s">
        <v>621</v>
      </c>
      <c r="AN36" s="245" t="s">
        <v>621</v>
      </c>
      <c r="AO36" s="245" t="s">
        <v>621</v>
      </c>
      <c r="AP36" s="245">
        <v>0</v>
      </c>
      <c r="AQ36" s="245" t="s">
        <v>621</v>
      </c>
      <c r="AR36" s="245" t="s">
        <v>621</v>
      </c>
      <c r="AS36" s="245">
        <f t="shared" si="7"/>
        <v>0</v>
      </c>
      <c r="AT36" s="245" t="s">
        <v>621</v>
      </c>
      <c r="AU36" s="509" t="s">
        <v>621</v>
      </c>
      <c r="AV36" s="512" t="s">
        <v>621</v>
      </c>
      <c r="AW36" s="500">
        <v>0</v>
      </c>
      <c r="AX36" s="245" t="s">
        <v>621</v>
      </c>
      <c r="AY36" s="245" t="s">
        <v>621</v>
      </c>
      <c r="AZ36" s="245">
        <v>0</v>
      </c>
      <c r="BA36" s="245" t="s">
        <v>621</v>
      </c>
      <c r="BB36" s="245" t="s">
        <v>621</v>
      </c>
      <c r="BC36" s="246" t="str">
        <f t="shared" si="8"/>
        <v>нд</v>
      </c>
      <c r="BD36" s="245">
        <f t="shared" si="2"/>
        <v>0</v>
      </c>
      <c r="BE36" s="245" t="s">
        <v>621</v>
      </c>
      <c r="BF36" s="245" t="s">
        <v>621</v>
      </c>
      <c r="BG36" s="245">
        <f t="shared" si="9"/>
        <v>0</v>
      </c>
      <c r="BH36" s="245" t="s">
        <v>621</v>
      </c>
      <c r="BI36" s="497" t="s">
        <v>621</v>
      </c>
      <c r="BJ36" s="512" t="s">
        <v>621</v>
      </c>
      <c r="BK36" s="500" t="s">
        <v>621</v>
      </c>
      <c r="BL36" s="245" t="s">
        <v>621</v>
      </c>
      <c r="BM36" s="245" t="s">
        <v>621</v>
      </c>
      <c r="BN36" s="350">
        <v>0</v>
      </c>
      <c r="BO36" s="245" t="s">
        <v>621</v>
      </c>
      <c r="BP36" s="245" t="s">
        <v>621</v>
      </c>
      <c r="BQ36" s="245" t="s">
        <v>621</v>
      </c>
      <c r="BR36" s="245" t="s">
        <v>621</v>
      </c>
      <c r="BS36" s="245" t="s">
        <v>621</v>
      </c>
      <c r="BT36" s="245" t="s">
        <v>621</v>
      </c>
      <c r="BU36" s="245">
        <f t="shared" si="10"/>
        <v>0</v>
      </c>
      <c r="BV36" s="245" t="s">
        <v>621</v>
      </c>
      <c r="BW36" s="509" t="s">
        <v>621</v>
      </c>
      <c r="BX36" s="512" t="s">
        <v>621</v>
      </c>
      <c r="BY36" s="568">
        <v>10.7</v>
      </c>
      <c r="BZ36" s="245" t="s">
        <v>621</v>
      </c>
      <c r="CA36" s="245" t="s">
        <v>621</v>
      </c>
      <c r="CB36" s="262">
        <v>1.006</v>
      </c>
      <c r="CC36" s="245" t="s">
        <v>621</v>
      </c>
      <c r="CD36" s="497" t="s">
        <v>621</v>
      </c>
      <c r="CE36" s="245" t="s">
        <v>621</v>
      </c>
      <c r="CF36" s="245">
        <f t="shared" si="3"/>
        <v>10.7</v>
      </c>
      <c r="CG36" s="245" t="s">
        <v>621</v>
      </c>
      <c r="CH36" s="245" t="s">
        <v>621</v>
      </c>
      <c r="CI36" s="245">
        <f t="shared" si="11"/>
        <v>1.006</v>
      </c>
      <c r="CJ36" s="245" t="s">
        <v>621</v>
      </c>
      <c r="CK36" s="509" t="s">
        <v>621</v>
      </c>
      <c r="CL36" s="512" t="s">
        <v>621</v>
      </c>
      <c r="CM36" s="568">
        <v>10.7</v>
      </c>
      <c r="CN36" s="245" t="s">
        <v>621</v>
      </c>
      <c r="CO36" s="245" t="s">
        <v>621</v>
      </c>
      <c r="CP36" s="262">
        <v>1.006</v>
      </c>
      <c r="CQ36" s="245" t="s">
        <v>621</v>
      </c>
      <c r="CR36" s="245" t="s">
        <v>621</v>
      </c>
      <c r="CS36" s="512" t="s">
        <v>621</v>
      </c>
      <c r="CT36" s="246">
        <f>'3 (цены без НДС)'!P34</f>
        <v>11.61</v>
      </c>
      <c r="CU36" s="245" t="s">
        <v>621</v>
      </c>
      <c r="CV36" s="245" t="s">
        <v>621</v>
      </c>
      <c r="CW36" s="257">
        <f t="shared" si="12"/>
        <v>1.006</v>
      </c>
      <c r="CX36" s="245" t="s">
        <v>621</v>
      </c>
      <c r="CY36" s="509" t="s">
        <v>621</v>
      </c>
      <c r="CZ36" s="500" t="s">
        <v>621</v>
      </c>
    </row>
    <row r="37" spans="1:104" s="313" customFormat="1" ht="45.75" customHeight="1" x14ac:dyDescent="0.25">
      <c r="A37" s="1035" t="s">
        <v>1659</v>
      </c>
      <c r="B37" s="154" t="s">
        <v>1671</v>
      </c>
      <c r="C37" s="972" t="str">
        <f>'2 (цены с НДС)'!C35</f>
        <v>J_2021_1.2.2.1.13</v>
      </c>
      <c r="D37" s="246">
        <v>0</v>
      </c>
      <c r="E37" s="1003">
        <f>'3 (цены без НДС)'!AN35</f>
        <v>5.35</v>
      </c>
      <c r="F37" s="512" t="s">
        <v>621</v>
      </c>
      <c r="G37" s="245" t="s">
        <v>621</v>
      </c>
      <c r="H37" s="245" t="s">
        <v>621</v>
      </c>
      <c r="I37" s="245" t="s">
        <v>621</v>
      </c>
      <c r="J37" s="245" t="s">
        <v>621</v>
      </c>
      <c r="K37" s="245" t="s">
        <v>621</v>
      </c>
      <c r="L37" s="245" t="s">
        <v>621</v>
      </c>
      <c r="M37" s="245" t="s">
        <v>621</v>
      </c>
      <c r="N37" s="245" t="s">
        <v>621</v>
      </c>
      <c r="O37" s="245" t="s">
        <v>621</v>
      </c>
      <c r="P37" s="245" t="s">
        <v>621</v>
      </c>
      <c r="Q37" s="245" t="s">
        <v>621</v>
      </c>
      <c r="R37" s="245" t="s">
        <v>621</v>
      </c>
      <c r="S37" s="509" t="s">
        <v>621</v>
      </c>
      <c r="T37" s="512" t="s">
        <v>621</v>
      </c>
      <c r="U37" s="245" t="s">
        <v>621</v>
      </c>
      <c r="V37" s="245" t="s">
        <v>621</v>
      </c>
      <c r="W37" s="245" t="s">
        <v>621</v>
      </c>
      <c r="X37" s="350">
        <v>0</v>
      </c>
      <c r="Y37" s="245" t="s">
        <v>621</v>
      </c>
      <c r="Z37" s="245" t="s">
        <v>621</v>
      </c>
      <c r="AA37" s="245" t="s">
        <v>621</v>
      </c>
      <c r="AB37" s="245" t="s">
        <v>621</v>
      </c>
      <c r="AC37" s="245" t="s">
        <v>621</v>
      </c>
      <c r="AD37" s="245" t="s">
        <v>621</v>
      </c>
      <c r="AE37" s="245" t="s">
        <v>621</v>
      </c>
      <c r="AF37" s="245" t="s">
        <v>621</v>
      </c>
      <c r="AG37" s="509" t="s">
        <v>621</v>
      </c>
      <c r="AH37" s="500" t="s">
        <v>621</v>
      </c>
      <c r="AI37" s="245">
        <v>0</v>
      </c>
      <c r="AJ37" s="245" t="s">
        <v>621</v>
      </c>
      <c r="AK37" s="245" t="s">
        <v>621</v>
      </c>
      <c r="AL37" s="245">
        <v>0</v>
      </c>
      <c r="AM37" s="245" t="s">
        <v>621</v>
      </c>
      <c r="AN37" s="245" t="s">
        <v>621</v>
      </c>
      <c r="AO37" s="245" t="s">
        <v>621</v>
      </c>
      <c r="AP37" s="246">
        <f>'3 (цены без НДС)'!AN35</f>
        <v>5.35</v>
      </c>
      <c r="AQ37" s="245" t="s">
        <v>621</v>
      </c>
      <c r="AR37" s="245" t="s">
        <v>621</v>
      </c>
      <c r="AS37" s="245">
        <f>'Ф1 2021'!O55</f>
        <v>2.3039999999999998</v>
      </c>
      <c r="AT37" s="245" t="s">
        <v>621</v>
      </c>
      <c r="AU37" s="509" t="s">
        <v>621</v>
      </c>
      <c r="AV37" s="512" t="s">
        <v>621</v>
      </c>
      <c r="AW37" s="500">
        <v>0</v>
      </c>
      <c r="AX37" s="245" t="s">
        <v>621</v>
      </c>
      <c r="AY37" s="245" t="s">
        <v>621</v>
      </c>
      <c r="AZ37" s="245">
        <v>0</v>
      </c>
      <c r="BA37" s="245" t="s">
        <v>621</v>
      </c>
      <c r="BB37" s="245" t="s">
        <v>621</v>
      </c>
      <c r="BC37" s="246" t="str">
        <f t="shared" ref="BC37:BC48" si="14">AV37</f>
        <v>нд</v>
      </c>
      <c r="BD37" s="245">
        <f t="shared" ref="BD37:BD48" si="15">AW37</f>
        <v>0</v>
      </c>
      <c r="BE37" s="245" t="s">
        <v>621</v>
      </c>
      <c r="BF37" s="245" t="s">
        <v>621</v>
      </c>
      <c r="BG37" s="245">
        <f t="shared" ref="BG37:BG48" si="16">AZ37</f>
        <v>0</v>
      </c>
      <c r="BH37" s="245" t="s">
        <v>621</v>
      </c>
      <c r="BI37" s="497" t="s">
        <v>621</v>
      </c>
      <c r="BJ37" s="512" t="s">
        <v>621</v>
      </c>
      <c r="BK37" s="500" t="s">
        <v>621</v>
      </c>
      <c r="BL37" s="245" t="s">
        <v>621</v>
      </c>
      <c r="BM37" s="245" t="s">
        <v>621</v>
      </c>
      <c r="BN37" s="350">
        <v>0</v>
      </c>
      <c r="BO37" s="245" t="s">
        <v>621</v>
      </c>
      <c r="BP37" s="245" t="s">
        <v>621</v>
      </c>
      <c r="BQ37" s="245" t="s">
        <v>621</v>
      </c>
      <c r="BR37" s="245" t="s">
        <v>621</v>
      </c>
      <c r="BS37" s="245" t="s">
        <v>621</v>
      </c>
      <c r="BT37" s="245" t="s">
        <v>621</v>
      </c>
      <c r="BU37" s="245">
        <v>0</v>
      </c>
      <c r="BV37" s="245" t="s">
        <v>621</v>
      </c>
      <c r="BW37" s="509" t="s">
        <v>621</v>
      </c>
      <c r="BX37" s="512" t="s">
        <v>621</v>
      </c>
      <c r="BY37" s="568">
        <v>0</v>
      </c>
      <c r="BZ37" s="245" t="s">
        <v>621</v>
      </c>
      <c r="CA37" s="245" t="s">
        <v>621</v>
      </c>
      <c r="CB37" s="262">
        <v>0</v>
      </c>
      <c r="CC37" s="245" t="s">
        <v>621</v>
      </c>
      <c r="CD37" s="497" t="s">
        <v>621</v>
      </c>
      <c r="CE37" s="245" t="s">
        <v>621</v>
      </c>
      <c r="CF37" s="245">
        <f t="shared" si="3"/>
        <v>0</v>
      </c>
      <c r="CG37" s="245" t="s">
        <v>621</v>
      </c>
      <c r="CH37" s="245" t="s">
        <v>621</v>
      </c>
      <c r="CI37" s="245">
        <f t="shared" si="11"/>
        <v>0</v>
      </c>
      <c r="CJ37" s="245" t="s">
        <v>621</v>
      </c>
      <c r="CK37" s="509" t="s">
        <v>621</v>
      </c>
      <c r="CL37" s="512" t="s">
        <v>621</v>
      </c>
      <c r="CM37" s="568">
        <v>0</v>
      </c>
      <c r="CN37" s="245" t="s">
        <v>621</v>
      </c>
      <c r="CO37" s="245" t="s">
        <v>621</v>
      </c>
      <c r="CP37" s="961">
        <f>CM37</f>
        <v>0</v>
      </c>
      <c r="CQ37" s="245" t="s">
        <v>621</v>
      </c>
      <c r="CR37" s="245" t="s">
        <v>621</v>
      </c>
      <c r="CS37" s="512" t="s">
        <v>621</v>
      </c>
      <c r="CT37" s="246">
        <f>'3 (цены без НДС)'!P35</f>
        <v>5.35</v>
      </c>
      <c r="CU37" s="245" t="s">
        <v>621</v>
      </c>
      <c r="CV37" s="245" t="s">
        <v>621</v>
      </c>
      <c r="CW37" s="257">
        <f>AS37</f>
        <v>2.3039999999999998</v>
      </c>
      <c r="CX37" s="245" t="s">
        <v>621</v>
      </c>
      <c r="CY37" s="509" t="s">
        <v>621</v>
      </c>
      <c r="CZ37" s="500" t="s">
        <v>621</v>
      </c>
    </row>
    <row r="38" spans="1:104" s="313" customFormat="1" ht="50.25" customHeight="1" x14ac:dyDescent="0.25">
      <c r="A38" s="1035" t="s">
        <v>1660</v>
      </c>
      <c r="B38" s="154" t="s">
        <v>1672</v>
      </c>
      <c r="C38" s="972" t="str">
        <f>'2 (цены с НДС)'!C36</f>
        <v>J_2021_1.2.2.1.14</v>
      </c>
      <c r="D38" s="246">
        <v>0</v>
      </c>
      <c r="E38" s="1003">
        <f>'3 (цены без НДС)'!AN36</f>
        <v>1.96</v>
      </c>
      <c r="F38" s="512" t="s">
        <v>621</v>
      </c>
      <c r="G38" s="245" t="s">
        <v>621</v>
      </c>
      <c r="H38" s="245" t="s">
        <v>621</v>
      </c>
      <c r="I38" s="245" t="s">
        <v>621</v>
      </c>
      <c r="J38" s="245" t="s">
        <v>621</v>
      </c>
      <c r="K38" s="245" t="s">
        <v>621</v>
      </c>
      <c r="L38" s="245" t="s">
        <v>621</v>
      </c>
      <c r="M38" s="245" t="s">
        <v>621</v>
      </c>
      <c r="N38" s="245" t="s">
        <v>621</v>
      </c>
      <c r="O38" s="245" t="s">
        <v>621</v>
      </c>
      <c r="P38" s="245" t="s">
        <v>621</v>
      </c>
      <c r="Q38" s="245" t="s">
        <v>621</v>
      </c>
      <c r="R38" s="245" t="s">
        <v>621</v>
      </c>
      <c r="S38" s="509" t="s">
        <v>621</v>
      </c>
      <c r="T38" s="512" t="s">
        <v>621</v>
      </c>
      <c r="U38" s="245" t="s">
        <v>621</v>
      </c>
      <c r="V38" s="245" t="s">
        <v>621</v>
      </c>
      <c r="W38" s="245" t="s">
        <v>621</v>
      </c>
      <c r="X38" s="350">
        <v>0</v>
      </c>
      <c r="Y38" s="245" t="s">
        <v>621</v>
      </c>
      <c r="Z38" s="245" t="s">
        <v>621</v>
      </c>
      <c r="AA38" s="245" t="s">
        <v>621</v>
      </c>
      <c r="AB38" s="245" t="s">
        <v>621</v>
      </c>
      <c r="AC38" s="245" t="s">
        <v>621</v>
      </c>
      <c r="AD38" s="245" t="s">
        <v>621</v>
      </c>
      <c r="AE38" s="245" t="s">
        <v>621</v>
      </c>
      <c r="AF38" s="245" t="s">
        <v>621</v>
      </c>
      <c r="AG38" s="509" t="s">
        <v>621</v>
      </c>
      <c r="AH38" s="500" t="s">
        <v>621</v>
      </c>
      <c r="AI38" s="245">
        <v>0</v>
      </c>
      <c r="AJ38" s="245" t="s">
        <v>621</v>
      </c>
      <c r="AK38" s="245" t="s">
        <v>621</v>
      </c>
      <c r="AL38" s="245">
        <v>0</v>
      </c>
      <c r="AM38" s="245" t="s">
        <v>621</v>
      </c>
      <c r="AN38" s="245" t="s">
        <v>621</v>
      </c>
      <c r="AO38" s="245" t="s">
        <v>621</v>
      </c>
      <c r="AP38" s="246">
        <f>'3 (цены без НДС)'!AN36</f>
        <v>1.96</v>
      </c>
      <c r="AQ38" s="245" t="s">
        <v>621</v>
      </c>
      <c r="AR38" s="245" t="s">
        <v>621</v>
      </c>
      <c r="AS38" s="245">
        <f>'Ф1 2021'!O56</f>
        <v>0.95899999999999996</v>
      </c>
      <c r="AT38" s="245" t="s">
        <v>621</v>
      </c>
      <c r="AU38" s="509" t="s">
        <v>621</v>
      </c>
      <c r="AV38" s="512" t="s">
        <v>621</v>
      </c>
      <c r="AW38" s="500">
        <v>0</v>
      </c>
      <c r="AX38" s="245" t="s">
        <v>621</v>
      </c>
      <c r="AY38" s="245" t="s">
        <v>621</v>
      </c>
      <c r="AZ38" s="245">
        <v>0</v>
      </c>
      <c r="BA38" s="245" t="s">
        <v>621</v>
      </c>
      <c r="BB38" s="245" t="s">
        <v>621</v>
      </c>
      <c r="BC38" s="246" t="str">
        <f t="shared" si="14"/>
        <v>нд</v>
      </c>
      <c r="BD38" s="245">
        <f t="shared" si="15"/>
        <v>0</v>
      </c>
      <c r="BE38" s="245" t="s">
        <v>621</v>
      </c>
      <c r="BF38" s="245" t="s">
        <v>621</v>
      </c>
      <c r="BG38" s="245">
        <f t="shared" si="16"/>
        <v>0</v>
      </c>
      <c r="BH38" s="245" t="s">
        <v>621</v>
      </c>
      <c r="BI38" s="497" t="s">
        <v>621</v>
      </c>
      <c r="BJ38" s="512" t="s">
        <v>621</v>
      </c>
      <c r="BK38" s="500" t="s">
        <v>621</v>
      </c>
      <c r="BL38" s="245" t="s">
        <v>621</v>
      </c>
      <c r="BM38" s="245" t="s">
        <v>621</v>
      </c>
      <c r="BN38" s="350">
        <v>0</v>
      </c>
      <c r="BO38" s="245" t="s">
        <v>621</v>
      </c>
      <c r="BP38" s="245" t="s">
        <v>621</v>
      </c>
      <c r="BQ38" s="245" t="s">
        <v>621</v>
      </c>
      <c r="BR38" s="245" t="s">
        <v>621</v>
      </c>
      <c r="BS38" s="245" t="s">
        <v>621</v>
      </c>
      <c r="BT38" s="245" t="s">
        <v>621</v>
      </c>
      <c r="BU38" s="245">
        <v>0</v>
      </c>
      <c r="BV38" s="245" t="s">
        <v>621</v>
      </c>
      <c r="BW38" s="509" t="s">
        <v>621</v>
      </c>
      <c r="BX38" s="512" t="s">
        <v>621</v>
      </c>
      <c r="BY38" s="568">
        <v>0</v>
      </c>
      <c r="BZ38" s="245" t="s">
        <v>621</v>
      </c>
      <c r="CA38" s="245" t="s">
        <v>621</v>
      </c>
      <c r="CB38" s="262">
        <v>0</v>
      </c>
      <c r="CC38" s="245" t="s">
        <v>621</v>
      </c>
      <c r="CD38" s="497" t="s">
        <v>621</v>
      </c>
      <c r="CE38" s="245" t="s">
        <v>621</v>
      </c>
      <c r="CF38" s="245">
        <f t="shared" si="3"/>
        <v>0</v>
      </c>
      <c r="CG38" s="245" t="s">
        <v>621</v>
      </c>
      <c r="CH38" s="245" t="s">
        <v>621</v>
      </c>
      <c r="CI38" s="245">
        <f t="shared" si="11"/>
        <v>0</v>
      </c>
      <c r="CJ38" s="245" t="s">
        <v>621</v>
      </c>
      <c r="CK38" s="509" t="s">
        <v>621</v>
      </c>
      <c r="CL38" s="512" t="s">
        <v>621</v>
      </c>
      <c r="CM38" s="568">
        <v>0</v>
      </c>
      <c r="CN38" s="245" t="s">
        <v>621</v>
      </c>
      <c r="CO38" s="245" t="s">
        <v>621</v>
      </c>
      <c r="CP38" s="961">
        <f t="shared" ref="CP38:CP48" si="17">CM38</f>
        <v>0</v>
      </c>
      <c r="CQ38" s="245" t="s">
        <v>621</v>
      </c>
      <c r="CR38" s="245" t="s">
        <v>621</v>
      </c>
      <c r="CS38" s="512" t="s">
        <v>621</v>
      </c>
      <c r="CT38" s="246">
        <f>'3 (цены без НДС)'!P36</f>
        <v>1.96</v>
      </c>
      <c r="CU38" s="245" t="s">
        <v>621</v>
      </c>
      <c r="CV38" s="245" t="s">
        <v>621</v>
      </c>
      <c r="CW38" s="257">
        <f t="shared" ref="CW38:CW48" si="18">AS38</f>
        <v>0.95899999999999996</v>
      </c>
      <c r="CX38" s="245" t="s">
        <v>621</v>
      </c>
      <c r="CY38" s="509" t="s">
        <v>621</v>
      </c>
      <c r="CZ38" s="500" t="s">
        <v>621</v>
      </c>
    </row>
    <row r="39" spans="1:104" s="313" customFormat="1" ht="45.75" customHeight="1" x14ac:dyDescent="0.25">
      <c r="A39" s="1035" t="s">
        <v>1661</v>
      </c>
      <c r="B39" s="154" t="s">
        <v>1673</v>
      </c>
      <c r="C39" s="972" t="str">
        <f>'2 (цены с НДС)'!C37</f>
        <v>J_2021_1.2.2.1.15</v>
      </c>
      <c r="D39" s="246">
        <v>0</v>
      </c>
      <c r="E39" s="1003">
        <f>'3 (цены без НДС)'!AN37</f>
        <v>1.25</v>
      </c>
      <c r="F39" s="512" t="s">
        <v>621</v>
      </c>
      <c r="G39" s="245" t="s">
        <v>621</v>
      </c>
      <c r="H39" s="245" t="s">
        <v>621</v>
      </c>
      <c r="I39" s="245" t="s">
        <v>621</v>
      </c>
      <c r="J39" s="245" t="s">
        <v>621</v>
      </c>
      <c r="K39" s="245" t="s">
        <v>621</v>
      </c>
      <c r="L39" s="245" t="s">
        <v>621</v>
      </c>
      <c r="M39" s="245" t="s">
        <v>621</v>
      </c>
      <c r="N39" s="245" t="s">
        <v>621</v>
      </c>
      <c r="O39" s="245" t="s">
        <v>621</v>
      </c>
      <c r="P39" s="245" t="s">
        <v>621</v>
      </c>
      <c r="Q39" s="245" t="s">
        <v>621</v>
      </c>
      <c r="R39" s="245" t="s">
        <v>621</v>
      </c>
      <c r="S39" s="509" t="s">
        <v>621</v>
      </c>
      <c r="T39" s="512" t="s">
        <v>621</v>
      </c>
      <c r="U39" s="245" t="s">
        <v>621</v>
      </c>
      <c r="V39" s="245" t="s">
        <v>621</v>
      </c>
      <c r="W39" s="245" t="s">
        <v>621</v>
      </c>
      <c r="X39" s="350">
        <v>0</v>
      </c>
      <c r="Y39" s="245" t="s">
        <v>621</v>
      </c>
      <c r="Z39" s="245" t="s">
        <v>621</v>
      </c>
      <c r="AA39" s="245" t="s">
        <v>621</v>
      </c>
      <c r="AB39" s="245" t="s">
        <v>621</v>
      </c>
      <c r="AC39" s="245" t="s">
        <v>621</v>
      </c>
      <c r="AD39" s="245" t="s">
        <v>621</v>
      </c>
      <c r="AE39" s="245" t="s">
        <v>621</v>
      </c>
      <c r="AF39" s="245" t="s">
        <v>621</v>
      </c>
      <c r="AG39" s="509" t="s">
        <v>621</v>
      </c>
      <c r="AH39" s="500" t="s">
        <v>621</v>
      </c>
      <c r="AI39" s="245">
        <v>0</v>
      </c>
      <c r="AJ39" s="245" t="s">
        <v>621</v>
      </c>
      <c r="AK39" s="245" t="s">
        <v>621</v>
      </c>
      <c r="AL39" s="245">
        <v>0</v>
      </c>
      <c r="AM39" s="245" t="s">
        <v>621</v>
      </c>
      <c r="AN39" s="245" t="s">
        <v>621</v>
      </c>
      <c r="AO39" s="245" t="s">
        <v>621</v>
      </c>
      <c r="AP39" s="246">
        <f>'3 (цены без НДС)'!AN37</f>
        <v>1.25</v>
      </c>
      <c r="AQ39" s="245" t="s">
        <v>621</v>
      </c>
      <c r="AR39" s="245" t="s">
        <v>621</v>
      </c>
      <c r="AS39" s="245">
        <f>'Ф1 2021'!O57</f>
        <v>0.58199999999999996</v>
      </c>
      <c r="AT39" s="245" t="s">
        <v>621</v>
      </c>
      <c r="AU39" s="509" t="s">
        <v>621</v>
      </c>
      <c r="AV39" s="512" t="s">
        <v>621</v>
      </c>
      <c r="AW39" s="500">
        <v>0</v>
      </c>
      <c r="AX39" s="245" t="s">
        <v>621</v>
      </c>
      <c r="AY39" s="245" t="s">
        <v>621</v>
      </c>
      <c r="AZ39" s="245">
        <v>0</v>
      </c>
      <c r="BA39" s="245" t="s">
        <v>621</v>
      </c>
      <c r="BB39" s="245" t="s">
        <v>621</v>
      </c>
      <c r="BC39" s="246" t="str">
        <f t="shared" si="14"/>
        <v>нд</v>
      </c>
      <c r="BD39" s="245">
        <f t="shared" si="15"/>
        <v>0</v>
      </c>
      <c r="BE39" s="245" t="s">
        <v>621</v>
      </c>
      <c r="BF39" s="245" t="s">
        <v>621</v>
      </c>
      <c r="BG39" s="245">
        <f t="shared" si="16"/>
        <v>0</v>
      </c>
      <c r="BH39" s="245" t="s">
        <v>621</v>
      </c>
      <c r="BI39" s="497" t="s">
        <v>621</v>
      </c>
      <c r="BJ39" s="512" t="s">
        <v>621</v>
      </c>
      <c r="BK39" s="500" t="s">
        <v>621</v>
      </c>
      <c r="BL39" s="245" t="s">
        <v>621</v>
      </c>
      <c r="BM39" s="245" t="s">
        <v>621</v>
      </c>
      <c r="BN39" s="350">
        <v>0</v>
      </c>
      <c r="BO39" s="245" t="s">
        <v>621</v>
      </c>
      <c r="BP39" s="245" t="s">
        <v>621</v>
      </c>
      <c r="BQ39" s="245" t="s">
        <v>621</v>
      </c>
      <c r="BR39" s="245" t="s">
        <v>621</v>
      </c>
      <c r="BS39" s="245" t="s">
        <v>621</v>
      </c>
      <c r="BT39" s="245" t="s">
        <v>621</v>
      </c>
      <c r="BU39" s="245">
        <v>0</v>
      </c>
      <c r="BV39" s="245" t="s">
        <v>621</v>
      </c>
      <c r="BW39" s="509" t="s">
        <v>621</v>
      </c>
      <c r="BX39" s="512" t="s">
        <v>621</v>
      </c>
      <c r="BY39" s="568">
        <v>0</v>
      </c>
      <c r="BZ39" s="245" t="s">
        <v>621</v>
      </c>
      <c r="CA39" s="245" t="s">
        <v>621</v>
      </c>
      <c r="CB39" s="262">
        <v>0</v>
      </c>
      <c r="CC39" s="245" t="s">
        <v>621</v>
      </c>
      <c r="CD39" s="497" t="s">
        <v>621</v>
      </c>
      <c r="CE39" s="245" t="s">
        <v>621</v>
      </c>
      <c r="CF39" s="245">
        <f t="shared" si="3"/>
        <v>0</v>
      </c>
      <c r="CG39" s="245" t="s">
        <v>621</v>
      </c>
      <c r="CH39" s="245" t="s">
        <v>621</v>
      </c>
      <c r="CI39" s="245">
        <f t="shared" si="11"/>
        <v>0</v>
      </c>
      <c r="CJ39" s="245" t="s">
        <v>621</v>
      </c>
      <c r="CK39" s="509" t="s">
        <v>621</v>
      </c>
      <c r="CL39" s="512" t="s">
        <v>621</v>
      </c>
      <c r="CM39" s="568">
        <v>0</v>
      </c>
      <c r="CN39" s="245" t="s">
        <v>621</v>
      </c>
      <c r="CO39" s="245" t="s">
        <v>621</v>
      </c>
      <c r="CP39" s="961">
        <f t="shared" si="17"/>
        <v>0</v>
      </c>
      <c r="CQ39" s="245" t="s">
        <v>621</v>
      </c>
      <c r="CR39" s="245" t="s">
        <v>621</v>
      </c>
      <c r="CS39" s="512" t="s">
        <v>621</v>
      </c>
      <c r="CT39" s="246">
        <f>'3 (цены без НДС)'!P37</f>
        <v>1.25</v>
      </c>
      <c r="CU39" s="245" t="s">
        <v>621</v>
      </c>
      <c r="CV39" s="245" t="s">
        <v>621</v>
      </c>
      <c r="CW39" s="257">
        <f t="shared" si="18"/>
        <v>0.58199999999999996</v>
      </c>
      <c r="CX39" s="245" t="s">
        <v>621</v>
      </c>
      <c r="CY39" s="509" t="s">
        <v>621</v>
      </c>
      <c r="CZ39" s="500" t="s">
        <v>621</v>
      </c>
    </row>
    <row r="40" spans="1:104" s="313" customFormat="1" ht="48.75" customHeight="1" x14ac:dyDescent="0.25">
      <c r="A40" s="1035" t="s">
        <v>1662</v>
      </c>
      <c r="B40" s="154" t="s">
        <v>1674</v>
      </c>
      <c r="C40" s="972" t="str">
        <f>'2 (цены с НДС)'!C38</f>
        <v>J_2021_1.2.2.1.16</v>
      </c>
      <c r="D40" s="246">
        <v>0</v>
      </c>
      <c r="E40" s="1003">
        <f>'3 (цены без НДС)'!AN38</f>
        <v>1.6</v>
      </c>
      <c r="F40" s="512" t="s">
        <v>621</v>
      </c>
      <c r="G40" s="245" t="s">
        <v>621</v>
      </c>
      <c r="H40" s="245" t="s">
        <v>621</v>
      </c>
      <c r="I40" s="245" t="s">
        <v>621</v>
      </c>
      <c r="J40" s="245" t="s">
        <v>621</v>
      </c>
      <c r="K40" s="245" t="s">
        <v>621</v>
      </c>
      <c r="L40" s="245" t="s">
        <v>621</v>
      </c>
      <c r="M40" s="245" t="s">
        <v>621</v>
      </c>
      <c r="N40" s="245" t="s">
        <v>621</v>
      </c>
      <c r="O40" s="245" t="s">
        <v>621</v>
      </c>
      <c r="P40" s="245" t="s">
        <v>621</v>
      </c>
      <c r="Q40" s="245" t="s">
        <v>621</v>
      </c>
      <c r="R40" s="245" t="s">
        <v>621</v>
      </c>
      <c r="S40" s="509" t="s">
        <v>621</v>
      </c>
      <c r="T40" s="512" t="s">
        <v>621</v>
      </c>
      <c r="U40" s="245" t="s">
        <v>621</v>
      </c>
      <c r="V40" s="245" t="s">
        <v>621</v>
      </c>
      <c r="W40" s="245" t="s">
        <v>621</v>
      </c>
      <c r="X40" s="350">
        <v>0</v>
      </c>
      <c r="Y40" s="245" t="s">
        <v>621</v>
      </c>
      <c r="Z40" s="245" t="s">
        <v>621</v>
      </c>
      <c r="AA40" s="245" t="s">
        <v>621</v>
      </c>
      <c r="AB40" s="245" t="s">
        <v>621</v>
      </c>
      <c r="AC40" s="245" t="s">
        <v>621</v>
      </c>
      <c r="AD40" s="245" t="s">
        <v>621</v>
      </c>
      <c r="AE40" s="245" t="s">
        <v>621</v>
      </c>
      <c r="AF40" s="245" t="s">
        <v>621</v>
      </c>
      <c r="AG40" s="509" t="s">
        <v>621</v>
      </c>
      <c r="AH40" s="500" t="s">
        <v>621</v>
      </c>
      <c r="AI40" s="245">
        <v>0</v>
      </c>
      <c r="AJ40" s="245" t="s">
        <v>621</v>
      </c>
      <c r="AK40" s="245" t="s">
        <v>621</v>
      </c>
      <c r="AL40" s="245">
        <v>0</v>
      </c>
      <c r="AM40" s="245" t="s">
        <v>621</v>
      </c>
      <c r="AN40" s="245" t="s">
        <v>621</v>
      </c>
      <c r="AO40" s="245" t="s">
        <v>621</v>
      </c>
      <c r="AP40" s="246">
        <f>'3 (цены без НДС)'!AN38</f>
        <v>1.6</v>
      </c>
      <c r="AQ40" s="245" t="s">
        <v>621</v>
      </c>
      <c r="AR40" s="245" t="s">
        <v>621</v>
      </c>
      <c r="AS40" s="245">
        <f>'Ф1 2021'!O58</f>
        <v>0.46500000000000002</v>
      </c>
      <c r="AT40" s="245" t="s">
        <v>621</v>
      </c>
      <c r="AU40" s="509" t="s">
        <v>621</v>
      </c>
      <c r="AV40" s="512" t="s">
        <v>621</v>
      </c>
      <c r="AW40" s="500">
        <v>0</v>
      </c>
      <c r="AX40" s="245" t="s">
        <v>621</v>
      </c>
      <c r="AY40" s="245" t="s">
        <v>621</v>
      </c>
      <c r="AZ40" s="245">
        <v>0</v>
      </c>
      <c r="BA40" s="245" t="s">
        <v>621</v>
      </c>
      <c r="BB40" s="245" t="s">
        <v>621</v>
      </c>
      <c r="BC40" s="246" t="str">
        <f t="shared" si="14"/>
        <v>нд</v>
      </c>
      <c r="BD40" s="245">
        <f t="shared" si="15"/>
        <v>0</v>
      </c>
      <c r="BE40" s="245" t="s">
        <v>621</v>
      </c>
      <c r="BF40" s="245" t="s">
        <v>621</v>
      </c>
      <c r="BG40" s="245">
        <f t="shared" si="16"/>
        <v>0</v>
      </c>
      <c r="BH40" s="245" t="s">
        <v>621</v>
      </c>
      <c r="BI40" s="497" t="s">
        <v>621</v>
      </c>
      <c r="BJ40" s="512" t="s">
        <v>621</v>
      </c>
      <c r="BK40" s="500" t="s">
        <v>621</v>
      </c>
      <c r="BL40" s="245" t="s">
        <v>621</v>
      </c>
      <c r="BM40" s="245" t="s">
        <v>621</v>
      </c>
      <c r="BN40" s="350">
        <v>0</v>
      </c>
      <c r="BO40" s="245" t="s">
        <v>621</v>
      </c>
      <c r="BP40" s="245" t="s">
        <v>621</v>
      </c>
      <c r="BQ40" s="245" t="s">
        <v>621</v>
      </c>
      <c r="BR40" s="245" t="s">
        <v>621</v>
      </c>
      <c r="BS40" s="245" t="s">
        <v>621</v>
      </c>
      <c r="BT40" s="245" t="s">
        <v>621</v>
      </c>
      <c r="BU40" s="245">
        <v>0</v>
      </c>
      <c r="BV40" s="245" t="s">
        <v>621</v>
      </c>
      <c r="BW40" s="509" t="s">
        <v>621</v>
      </c>
      <c r="BX40" s="512" t="s">
        <v>621</v>
      </c>
      <c r="BY40" s="568">
        <v>0</v>
      </c>
      <c r="BZ40" s="245" t="s">
        <v>621</v>
      </c>
      <c r="CA40" s="245" t="s">
        <v>621</v>
      </c>
      <c r="CB40" s="262">
        <v>0</v>
      </c>
      <c r="CC40" s="245" t="s">
        <v>621</v>
      </c>
      <c r="CD40" s="497" t="s">
        <v>621</v>
      </c>
      <c r="CE40" s="245" t="s">
        <v>621</v>
      </c>
      <c r="CF40" s="245">
        <f t="shared" si="3"/>
        <v>0</v>
      </c>
      <c r="CG40" s="245" t="s">
        <v>621</v>
      </c>
      <c r="CH40" s="245" t="s">
        <v>621</v>
      </c>
      <c r="CI40" s="245">
        <f t="shared" si="11"/>
        <v>0</v>
      </c>
      <c r="CJ40" s="245" t="s">
        <v>621</v>
      </c>
      <c r="CK40" s="509" t="s">
        <v>621</v>
      </c>
      <c r="CL40" s="512" t="s">
        <v>621</v>
      </c>
      <c r="CM40" s="568">
        <v>0</v>
      </c>
      <c r="CN40" s="245" t="s">
        <v>621</v>
      </c>
      <c r="CO40" s="245" t="s">
        <v>621</v>
      </c>
      <c r="CP40" s="961">
        <f t="shared" si="17"/>
        <v>0</v>
      </c>
      <c r="CQ40" s="245" t="s">
        <v>621</v>
      </c>
      <c r="CR40" s="245" t="s">
        <v>621</v>
      </c>
      <c r="CS40" s="512" t="s">
        <v>621</v>
      </c>
      <c r="CT40" s="246">
        <f>'3 (цены без НДС)'!P38</f>
        <v>1.6</v>
      </c>
      <c r="CU40" s="245" t="s">
        <v>621</v>
      </c>
      <c r="CV40" s="245" t="s">
        <v>621</v>
      </c>
      <c r="CW40" s="257">
        <f t="shared" si="18"/>
        <v>0.46500000000000002</v>
      </c>
      <c r="CX40" s="245" t="s">
        <v>621</v>
      </c>
      <c r="CY40" s="509" t="s">
        <v>621</v>
      </c>
      <c r="CZ40" s="500" t="s">
        <v>621</v>
      </c>
    </row>
    <row r="41" spans="1:104" s="313" customFormat="1" ht="50.25" customHeight="1" x14ac:dyDescent="0.25">
      <c r="A41" s="1035" t="s">
        <v>1663</v>
      </c>
      <c r="B41" s="154" t="s">
        <v>1675</v>
      </c>
      <c r="C41" s="972" t="str">
        <f>'2 (цены с НДС)'!C39</f>
        <v>J_2021_1.2.2.1.17</v>
      </c>
      <c r="D41" s="246">
        <v>0</v>
      </c>
      <c r="E41" s="1003">
        <f>'3 (цены без НДС)'!AN39</f>
        <v>0.8</v>
      </c>
      <c r="F41" s="512" t="s">
        <v>621</v>
      </c>
      <c r="G41" s="245" t="s">
        <v>621</v>
      </c>
      <c r="H41" s="245" t="s">
        <v>621</v>
      </c>
      <c r="I41" s="245" t="s">
        <v>621</v>
      </c>
      <c r="J41" s="245" t="s">
        <v>621</v>
      </c>
      <c r="K41" s="245" t="s">
        <v>621</v>
      </c>
      <c r="L41" s="245" t="s">
        <v>621</v>
      </c>
      <c r="M41" s="245" t="s">
        <v>621</v>
      </c>
      <c r="N41" s="245" t="s">
        <v>621</v>
      </c>
      <c r="O41" s="245" t="s">
        <v>621</v>
      </c>
      <c r="P41" s="245" t="s">
        <v>621</v>
      </c>
      <c r="Q41" s="245" t="s">
        <v>621</v>
      </c>
      <c r="R41" s="245" t="s">
        <v>621</v>
      </c>
      <c r="S41" s="509" t="s">
        <v>621</v>
      </c>
      <c r="T41" s="512" t="s">
        <v>621</v>
      </c>
      <c r="U41" s="245" t="s">
        <v>621</v>
      </c>
      <c r="V41" s="245" t="s">
        <v>621</v>
      </c>
      <c r="W41" s="245" t="s">
        <v>621</v>
      </c>
      <c r="X41" s="350">
        <v>0</v>
      </c>
      <c r="Y41" s="245" t="s">
        <v>621</v>
      </c>
      <c r="Z41" s="245" t="s">
        <v>621</v>
      </c>
      <c r="AA41" s="245" t="s">
        <v>621</v>
      </c>
      <c r="AB41" s="245" t="s">
        <v>621</v>
      </c>
      <c r="AC41" s="245" t="s">
        <v>621</v>
      </c>
      <c r="AD41" s="245" t="s">
        <v>621</v>
      </c>
      <c r="AE41" s="245" t="s">
        <v>621</v>
      </c>
      <c r="AF41" s="245" t="s">
        <v>621</v>
      </c>
      <c r="AG41" s="509" t="s">
        <v>621</v>
      </c>
      <c r="AH41" s="500" t="s">
        <v>621</v>
      </c>
      <c r="AI41" s="245">
        <v>0</v>
      </c>
      <c r="AJ41" s="245" t="s">
        <v>621</v>
      </c>
      <c r="AK41" s="245" t="s">
        <v>621</v>
      </c>
      <c r="AL41" s="245">
        <v>0</v>
      </c>
      <c r="AM41" s="245" t="s">
        <v>621</v>
      </c>
      <c r="AN41" s="245" t="s">
        <v>621</v>
      </c>
      <c r="AO41" s="245" t="s">
        <v>621</v>
      </c>
      <c r="AP41" s="246">
        <f>'3 (цены без НДС)'!AN39</f>
        <v>0.8</v>
      </c>
      <c r="AQ41" s="245" t="s">
        <v>621</v>
      </c>
      <c r="AR41" s="245" t="s">
        <v>621</v>
      </c>
      <c r="AS41" s="245">
        <f>'Ф1 2021'!O59</f>
        <v>0.33800000000000002</v>
      </c>
      <c r="AT41" s="245" t="s">
        <v>621</v>
      </c>
      <c r="AU41" s="509" t="s">
        <v>621</v>
      </c>
      <c r="AV41" s="512" t="s">
        <v>621</v>
      </c>
      <c r="AW41" s="500">
        <v>0</v>
      </c>
      <c r="AX41" s="245" t="s">
        <v>621</v>
      </c>
      <c r="AY41" s="245" t="s">
        <v>621</v>
      </c>
      <c r="AZ41" s="245">
        <v>0</v>
      </c>
      <c r="BA41" s="245" t="s">
        <v>621</v>
      </c>
      <c r="BB41" s="245" t="s">
        <v>621</v>
      </c>
      <c r="BC41" s="246" t="str">
        <f t="shared" si="14"/>
        <v>нд</v>
      </c>
      <c r="BD41" s="245">
        <f t="shared" si="15"/>
        <v>0</v>
      </c>
      <c r="BE41" s="245" t="s">
        <v>621</v>
      </c>
      <c r="BF41" s="245" t="s">
        <v>621</v>
      </c>
      <c r="BG41" s="245">
        <f t="shared" si="16"/>
        <v>0</v>
      </c>
      <c r="BH41" s="245" t="s">
        <v>621</v>
      </c>
      <c r="BI41" s="497" t="s">
        <v>621</v>
      </c>
      <c r="BJ41" s="512" t="s">
        <v>621</v>
      </c>
      <c r="BK41" s="500" t="s">
        <v>621</v>
      </c>
      <c r="BL41" s="245" t="s">
        <v>621</v>
      </c>
      <c r="BM41" s="245" t="s">
        <v>621</v>
      </c>
      <c r="BN41" s="350">
        <v>0</v>
      </c>
      <c r="BO41" s="245" t="s">
        <v>621</v>
      </c>
      <c r="BP41" s="245" t="s">
        <v>621</v>
      </c>
      <c r="BQ41" s="245" t="s">
        <v>621</v>
      </c>
      <c r="BR41" s="245" t="s">
        <v>621</v>
      </c>
      <c r="BS41" s="245" t="s">
        <v>621</v>
      </c>
      <c r="BT41" s="245" t="s">
        <v>621</v>
      </c>
      <c r="BU41" s="245">
        <v>0</v>
      </c>
      <c r="BV41" s="245" t="s">
        <v>621</v>
      </c>
      <c r="BW41" s="509" t="s">
        <v>621</v>
      </c>
      <c r="BX41" s="512" t="s">
        <v>621</v>
      </c>
      <c r="BY41" s="568">
        <v>0</v>
      </c>
      <c r="BZ41" s="245" t="s">
        <v>621</v>
      </c>
      <c r="CA41" s="245" t="s">
        <v>621</v>
      </c>
      <c r="CB41" s="262">
        <v>0</v>
      </c>
      <c r="CC41" s="245" t="s">
        <v>621</v>
      </c>
      <c r="CD41" s="497" t="s">
        <v>621</v>
      </c>
      <c r="CE41" s="245" t="s">
        <v>621</v>
      </c>
      <c r="CF41" s="245">
        <f t="shared" si="3"/>
        <v>0</v>
      </c>
      <c r="CG41" s="245" t="s">
        <v>621</v>
      </c>
      <c r="CH41" s="245" t="s">
        <v>621</v>
      </c>
      <c r="CI41" s="245">
        <f t="shared" si="11"/>
        <v>0</v>
      </c>
      <c r="CJ41" s="245" t="s">
        <v>621</v>
      </c>
      <c r="CK41" s="509" t="s">
        <v>621</v>
      </c>
      <c r="CL41" s="512" t="s">
        <v>621</v>
      </c>
      <c r="CM41" s="568">
        <v>0</v>
      </c>
      <c r="CN41" s="245" t="s">
        <v>621</v>
      </c>
      <c r="CO41" s="245" t="s">
        <v>621</v>
      </c>
      <c r="CP41" s="961">
        <f t="shared" si="17"/>
        <v>0</v>
      </c>
      <c r="CQ41" s="245" t="s">
        <v>621</v>
      </c>
      <c r="CR41" s="245" t="s">
        <v>621</v>
      </c>
      <c r="CS41" s="512" t="s">
        <v>621</v>
      </c>
      <c r="CT41" s="246">
        <f>'3 (цены без НДС)'!P39</f>
        <v>0.8</v>
      </c>
      <c r="CU41" s="245" t="s">
        <v>621</v>
      </c>
      <c r="CV41" s="245" t="s">
        <v>621</v>
      </c>
      <c r="CW41" s="257">
        <f t="shared" si="18"/>
        <v>0.33800000000000002</v>
      </c>
      <c r="CX41" s="245" t="s">
        <v>621</v>
      </c>
      <c r="CY41" s="509" t="s">
        <v>621</v>
      </c>
      <c r="CZ41" s="500" t="s">
        <v>621</v>
      </c>
    </row>
    <row r="42" spans="1:104" s="313" customFormat="1" ht="50.25" customHeight="1" x14ac:dyDescent="0.25">
      <c r="A42" s="1035" t="s">
        <v>1664</v>
      </c>
      <c r="B42" s="154" t="s">
        <v>1676</v>
      </c>
      <c r="C42" s="972" t="str">
        <f>'2 (цены с НДС)'!C40</f>
        <v>J_2021_1.2.2.1.18</v>
      </c>
      <c r="D42" s="246">
        <v>0</v>
      </c>
      <c r="E42" s="1003">
        <f>'3 (цены без НДС)'!AN40</f>
        <v>0.65</v>
      </c>
      <c r="F42" s="512" t="s">
        <v>621</v>
      </c>
      <c r="G42" s="245" t="s">
        <v>621</v>
      </c>
      <c r="H42" s="245" t="s">
        <v>621</v>
      </c>
      <c r="I42" s="245" t="s">
        <v>621</v>
      </c>
      <c r="J42" s="245" t="s">
        <v>621</v>
      </c>
      <c r="K42" s="245" t="s">
        <v>621</v>
      </c>
      <c r="L42" s="245" t="s">
        <v>621</v>
      </c>
      <c r="M42" s="245" t="s">
        <v>621</v>
      </c>
      <c r="N42" s="245" t="s">
        <v>621</v>
      </c>
      <c r="O42" s="245" t="s">
        <v>621</v>
      </c>
      <c r="P42" s="245" t="s">
        <v>621</v>
      </c>
      <c r="Q42" s="245" t="s">
        <v>621</v>
      </c>
      <c r="R42" s="245" t="s">
        <v>621</v>
      </c>
      <c r="S42" s="509" t="s">
        <v>621</v>
      </c>
      <c r="T42" s="512" t="s">
        <v>621</v>
      </c>
      <c r="U42" s="245" t="s">
        <v>621</v>
      </c>
      <c r="V42" s="245" t="s">
        <v>621</v>
      </c>
      <c r="W42" s="245" t="s">
        <v>621</v>
      </c>
      <c r="X42" s="350">
        <v>0</v>
      </c>
      <c r="Y42" s="245" t="s">
        <v>621</v>
      </c>
      <c r="Z42" s="245" t="s">
        <v>621</v>
      </c>
      <c r="AA42" s="245" t="s">
        <v>621</v>
      </c>
      <c r="AB42" s="245" t="s">
        <v>621</v>
      </c>
      <c r="AC42" s="245" t="s">
        <v>621</v>
      </c>
      <c r="AD42" s="245" t="s">
        <v>621</v>
      </c>
      <c r="AE42" s="245" t="s">
        <v>621</v>
      </c>
      <c r="AF42" s="245" t="s">
        <v>621</v>
      </c>
      <c r="AG42" s="509" t="s">
        <v>621</v>
      </c>
      <c r="AH42" s="500" t="s">
        <v>621</v>
      </c>
      <c r="AI42" s="245">
        <v>0</v>
      </c>
      <c r="AJ42" s="245" t="s">
        <v>621</v>
      </c>
      <c r="AK42" s="245" t="s">
        <v>621</v>
      </c>
      <c r="AL42" s="245">
        <v>0</v>
      </c>
      <c r="AM42" s="245" t="s">
        <v>621</v>
      </c>
      <c r="AN42" s="245" t="s">
        <v>621</v>
      </c>
      <c r="AO42" s="245" t="s">
        <v>621</v>
      </c>
      <c r="AP42" s="246">
        <f>'3 (цены без НДС)'!AN40</f>
        <v>0.65</v>
      </c>
      <c r="AQ42" s="245" t="s">
        <v>621</v>
      </c>
      <c r="AR42" s="245" t="s">
        <v>621</v>
      </c>
      <c r="AS42" s="245">
        <f>'Ф1 2021'!O60</f>
        <v>0.379</v>
      </c>
      <c r="AT42" s="245" t="s">
        <v>621</v>
      </c>
      <c r="AU42" s="509" t="s">
        <v>621</v>
      </c>
      <c r="AV42" s="512" t="s">
        <v>621</v>
      </c>
      <c r="AW42" s="500">
        <v>0</v>
      </c>
      <c r="AX42" s="245" t="s">
        <v>621</v>
      </c>
      <c r="AY42" s="245" t="s">
        <v>621</v>
      </c>
      <c r="AZ42" s="245">
        <v>0</v>
      </c>
      <c r="BA42" s="245" t="s">
        <v>621</v>
      </c>
      <c r="BB42" s="245" t="s">
        <v>621</v>
      </c>
      <c r="BC42" s="246" t="str">
        <f t="shared" si="14"/>
        <v>нд</v>
      </c>
      <c r="BD42" s="245">
        <f t="shared" si="15"/>
        <v>0</v>
      </c>
      <c r="BE42" s="245" t="s">
        <v>621</v>
      </c>
      <c r="BF42" s="245" t="s">
        <v>621</v>
      </c>
      <c r="BG42" s="245">
        <f t="shared" si="16"/>
        <v>0</v>
      </c>
      <c r="BH42" s="245" t="s">
        <v>621</v>
      </c>
      <c r="BI42" s="497" t="s">
        <v>621</v>
      </c>
      <c r="BJ42" s="512" t="s">
        <v>621</v>
      </c>
      <c r="BK42" s="500" t="s">
        <v>621</v>
      </c>
      <c r="BL42" s="245" t="s">
        <v>621</v>
      </c>
      <c r="BM42" s="245" t="s">
        <v>621</v>
      </c>
      <c r="BN42" s="350">
        <v>0</v>
      </c>
      <c r="BO42" s="245" t="s">
        <v>621</v>
      </c>
      <c r="BP42" s="245" t="s">
        <v>621</v>
      </c>
      <c r="BQ42" s="245" t="s">
        <v>621</v>
      </c>
      <c r="BR42" s="245" t="s">
        <v>621</v>
      </c>
      <c r="BS42" s="245" t="s">
        <v>621</v>
      </c>
      <c r="BT42" s="245" t="s">
        <v>621</v>
      </c>
      <c r="BU42" s="245">
        <v>0</v>
      </c>
      <c r="BV42" s="245" t="s">
        <v>621</v>
      </c>
      <c r="BW42" s="509" t="s">
        <v>621</v>
      </c>
      <c r="BX42" s="512" t="s">
        <v>621</v>
      </c>
      <c r="BY42" s="568">
        <v>0</v>
      </c>
      <c r="BZ42" s="245" t="s">
        <v>621</v>
      </c>
      <c r="CA42" s="245" t="s">
        <v>621</v>
      </c>
      <c r="CB42" s="262">
        <v>0</v>
      </c>
      <c r="CC42" s="245" t="s">
        <v>621</v>
      </c>
      <c r="CD42" s="497" t="s">
        <v>621</v>
      </c>
      <c r="CE42" s="245" t="s">
        <v>621</v>
      </c>
      <c r="CF42" s="245">
        <f t="shared" si="3"/>
        <v>0</v>
      </c>
      <c r="CG42" s="245" t="s">
        <v>621</v>
      </c>
      <c r="CH42" s="245" t="s">
        <v>621</v>
      </c>
      <c r="CI42" s="245">
        <f t="shared" si="11"/>
        <v>0</v>
      </c>
      <c r="CJ42" s="245" t="s">
        <v>621</v>
      </c>
      <c r="CK42" s="509" t="s">
        <v>621</v>
      </c>
      <c r="CL42" s="512" t="s">
        <v>621</v>
      </c>
      <c r="CM42" s="568">
        <v>0</v>
      </c>
      <c r="CN42" s="245" t="s">
        <v>621</v>
      </c>
      <c r="CO42" s="245" t="s">
        <v>621</v>
      </c>
      <c r="CP42" s="961">
        <f t="shared" si="17"/>
        <v>0</v>
      </c>
      <c r="CQ42" s="245" t="s">
        <v>621</v>
      </c>
      <c r="CR42" s="245" t="s">
        <v>621</v>
      </c>
      <c r="CS42" s="512" t="s">
        <v>621</v>
      </c>
      <c r="CT42" s="246">
        <f>'3 (цены без НДС)'!P40</f>
        <v>0.65</v>
      </c>
      <c r="CU42" s="245" t="s">
        <v>621</v>
      </c>
      <c r="CV42" s="245" t="s">
        <v>621</v>
      </c>
      <c r="CW42" s="257">
        <f t="shared" si="18"/>
        <v>0.379</v>
      </c>
      <c r="CX42" s="245" t="s">
        <v>621</v>
      </c>
      <c r="CY42" s="509" t="s">
        <v>621</v>
      </c>
      <c r="CZ42" s="500" t="s">
        <v>621</v>
      </c>
    </row>
    <row r="43" spans="1:104" s="313" customFormat="1" ht="45.75" customHeight="1" x14ac:dyDescent="0.25">
      <c r="A43" s="1035" t="s">
        <v>1665</v>
      </c>
      <c r="B43" s="154" t="s">
        <v>1677</v>
      </c>
      <c r="C43" s="972" t="str">
        <f>'2 (цены с НДС)'!C41</f>
        <v>J_2021_1.2.2.1.19</v>
      </c>
      <c r="D43" s="246">
        <v>0</v>
      </c>
      <c r="E43" s="1003">
        <f>'3 (цены без НДС)'!AN41</f>
        <v>0.2</v>
      </c>
      <c r="F43" s="512" t="s">
        <v>621</v>
      </c>
      <c r="G43" s="245" t="s">
        <v>621</v>
      </c>
      <c r="H43" s="245" t="s">
        <v>621</v>
      </c>
      <c r="I43" s="245" t="s">
        <v>621</v>
      </c>
      <c r="J43" s="245" t="s">
        <v>621</v>
      </c>
      <c r="K43" s="245" t="s">
        <v>621</v>
      </c>
      <c r="L43" s="245" t="s">
        <v>621</v>
      </c>
      <c r="M43" s="245" t="s">
        <v>621</v>
      </c>
      <c r="N43" s="245" t="s">
        <v>621</v>
      </c>
      <c r="O43" s="245" t="s">
        <v>621</v>
      </c>
      <c r="P43" s="245" t="s">
        <v>621</v>
      </c>
      <c r="Q43" s="245" t="s">
        <v>621</v>
      </c>
      <c r="R43" s="245" t="s">
        <v>621</v>
      </c>
      <c r="S43" s="509" t="s">
        <v>621</v>
      </c>
      <c r="T43" s="512" t="s">
        <v>621</v>
      </c>
      <c r="U43" s="245" t="s">
        <v>621</v>
      </c>
      <c r="V43" s="245" t="s">
        <v>621</v>
      </c>
      <c r="W43" s="245" t="s">
        <v>621</v>
      </c>
      <c r="X43" s="350">
        <v>0</v>
      </c>
      <c r="Y43" s="245" t="s">
        <v>621</v>
      </c>
      <c r="Z43" s="245" t="s">
        <v>621</v>
      </c>
      <c r="AA43" s="245" t="s">
        <v>621</v>
      </c>
      <c r="AB43" s="245" t="s">
        <v>621</v>
      </c>
      <c r="AC43" s="245" t="s">
        <v>621</v>
      </c>
      <c r="AD43" s="245" t="s">
        <v>621</v>
      </c>
      <c r="AE43" s="245" t="s">
        <v>621</v>
      </c>
      <c r="AF43" s="245" t="s">
        <v>621</v>
      </c>
      <c r="AG43" s="509" t="s">
        <v>621</v>
      </c>
      <c r="AH43" s="500" t="s">
        <v>621</v>
      </c>
      <c r="AI43" s="245">
        <v>0</v>
      </c>
      <c r="AJ43" s="245" t="s">
        <v>621</v>
      </c>
      <c r="AK43" s="245" t="s">
        <v>621</v>
      </c>
      <c r="AL43" s="245">
        <v>0</v>
      </c>
      <c r="AM43" s="245" t="s">
        <v>621</v>
      </c>
      <c r="AN43" s="245" t="s">
        <v>621</v>
      </c>
      <c r="AO43" s="245" t="s">
        <v>621</v>
      </c>
      <c r="AP43" s="246">
        <f>'3 (цены без НДС)'!AN41</f>
        <v>0.2</v>
      </c>
      <c r="AQ43" s="245" t="s">
        <v>621</v>
      </c>
      <c r="AR43" s="245" t="s">
        <v>621</v>
      </c>
      <c r="AS43" s="245">
        <f>'Ф1 2021'!O61</f>
        <v>0.15740000000000001</v>
      </c>
      <c r="AT43" s="245" t="s">
        <v>621</v>
      </c>
      <c r="AU43" s="509" t="s">
        <v>621</v>
      </c>
      <c r="AV43" s="512" t="s">
        <v>621</v>
      </c>
      <c r="AW43" s="500">
        <v>0</v>
      </c>
      <c r="AX43" s="245" t="s">
        <v>621</v>
      </c>
      <c r="AY43" s="245" t="s">
        <v>621</v>
      </c>
      <c r="AZ43" s="245">
        <v>0</v>
      </c>
      <c r="BA43" s="245" t="s">
        <v>621</v>
      </c>
      <c r="BB43" s="245" t="s">
        <v>621</v>
      </c>
      <c r="BC43" s="246" t="str">
        <f t="shared" si="14"/>
        <v>нд</v>
      </c>
      <c r="BD43" s="245">
        <f t="shared" si="15"/>
        <v>0</v>
      </c>
      <c r="BE43" s="245" t="s">
        <v>621</v>
      </c>
      <c r="BF43" s="245" t="s">
        <v>621</v>
      </c>
      <c r="BG43" s="245">
        <f t="shared" si="16"/>
        <v>0</v>
      </c>
      <c r="BH43" s="245" t="s">
        <v>621</v>
      </c>
      <c r="BI43" s="497" t="s">
        <v>621</v>
      </c>
      <c r="BJ43" s="512" t="s">
        <v>621</v>
      </c>
      <c r="BK43" s="500" t="s">
        <v>621</v>
      </c>
      <c r="BL43" s="245" t="s">
        <v>621</v>
      </c>
      <c r="BM43" s="245" t="s">
        <v>621</v>
      </c>
      <c r="BN43" s="350">
        <v>0</v>
      </c>
      <c r="BO43" s="245" t="s">
        <v>621</v>
      </c>
      <c r="BP43" s="245" t="s">
        <v>621</v>
      </c>
      <c r="BQ43" s="245" t="s">
        <v>621</v>
      </c>
      <c r="BR43" s="245" t="s">
        <v>621</v>
      </c>
      <c r="BS43" s="245" t="s">
        <v>621</v>
      </c>
      <c r="BT43" s="245" t="s">
        <v>621</v>
      </c>
      <c r="BU43" s="245">
        <v>0</v>
      </c>
      <c r="BV43" s="245" t="s">
        <v>621</v>
      </c>
      <c r="BW43" s="509" t="s">
        <v>621</v>
      </c>
      <c r="BX43" s="512" t="s">
        <v>621</v>
      </c>
      <c r="BY43" s="568">
        <v>0</v>
      </c>
      <c r="BZ43" s="245" t="s">
        <v>621</v>
      </c>
      <c r="CA43" s="245" t="s">
        <v>621</v>
      </c>
      <c r="CB43" s="262">
        <v>0</v>
      </c>
      <c r="CC43" s="245" t="s">
        <v>621</v>
      </c>
      <c r="CD43" s="497" t="s">
        <v>621</v>
      </c>
      <c r="CE43" s="245" t="s">
        <v>621</v>
      </c>
      <c r="CF43" s="245">
        <f t="shared" si="3"/>
        <v>0</v>
      </c>
      <c r="CG43" s="245" t="s">
        <v>621</v>
      </c>
      <c r="CH43" s="245" t="s">
        <v>621</v>
      </c>
      <c r="CI43" s="245">
        <f t="shared" si="11"/>
        <v>0</v>
      </c>
      <c r="CJ43" s="245" t="s">
        <v>621</v>
      </c>
      <c r="CK43" s="509" t="s">
        <v>621</v>
      </c>
      <c r="CL43" s="512" t="s">
        <v>621</v>
      </c>
      <c r="CM43" s="568">
        <v>0</v>
      </c>
      <c r="CN43" s="245" t="s">
        <v>621</v>
      </c>
      <c r="CO43" s="245" t="s">
        <v>621</v>
      </c>
      <c r="CP43" s="961">
        <f t="shared" si="17"/>
        <v>0</v>
      </c>
      <c r="CQ43" s="245" t="s">
        <v>621</v>
      </c>
      <c r="CR43" s="245" t="s">
        <v>621</v>
      </c>
      <c r="CS43" s="512" t="s">
        <v>621</v>
      </c>
      <c r="CT43" s="246">
        <f>'3 (цены без НДС)'!P41</f>
        <v>0.2</v>
      </c>
      <c r="CU43" s="245" t="s">
        <v>621</v>
      </c>
      <c r="CV43" s="245" t="s">
        <v>621</v>
      </c>
      <c r="CW43" s="257">
        <f t="shared" si="18"/>
        <v>0.157</v>
      </c>
      <c r="CX43" s="245" t="s">
        <v>621</v>
      </c>
      <c r="CY43" s="509" t="s">
        <v>621</v>
      </c>
      <c r="CZ43" s="500" t="s">
        <v>621</v>
      </c>
    </row>
    <row r="44" spans="1:104" s="313" customFormat="1" ht="45.75" customHeight="1" x14ac:dyDescent="0.25">
      <c r="A44" s="1035" t="s">
        <v>1666</v>
      </c>
      <c r="B44" s="154" t="s">
        <v>1678</v>
      </c>
      <c r="C44" s="972" t="str">
        <f>'2 (цены с НДС)'!C42</f>
        <v>J_2021_1.2.2.1.20</v>
      </c>
      <c r="D44" s="246">
        <v>0</v>
      </c>
      <c r="E44" s="1003">
        <f>'3 (цены без НДС)'!AN42</f>
        <v>0.7</v>
      </c>
      <c r="F44" s="512" t="s">
        <v>621</v>
      </c>
      <c r="G44" s="245" t="s">
        <v>621</v>
      </c>
      <c r="H44" s="245" t="s">
        <v>621</v>
      </c>
      <c r="I44" s="245" t="s">
        <v>621</v>
      </c>
      <c r="J44" s="245" t="s">
        <v>621</v>
      </c>
      <c r="K44" s="245" t="s">
        <v>621</v>
      </c>
      <c r="L44" s="245" t="s">
        <v>621</v>
      </c>
      <c r="M44" s="245" t="s">
        <v>621</v>
      </c>
      <c r="N44" s="245" t="s">
        <v>621</v>
      </c>
      <c r="O44" s="245" t="s">
        <v>621</v>
      </c>
      <c r="P44" s="245" t="s">
        <v>621</v>
      </c>
      <c r="Q44" s="245" t="s">
        <v>621</v>
      </c>
      <c r="R44" s="245" t="s">
        <v>621</v>
      </c>
      <c r="S44" s="509" t="s">
        <v>621</v>
      </c>
      <c r="T44" s="512" t="s">
        <v>621</v>
      </c>
      <c r="U44" s="245" t="s">
        <v>621</v>
      </c>
      <c r="V44" s="245" t="s">
        <v>621</v>
      </c>
      <c r="W44" s="245" t="s">
        <v>621</v>
      </c>
      <c r="X44" s="350">
        <v>0</v>
      </c>
      <c r="Y44" s="245" t="s">
        <v>621</v>
      </c>
      <c r="Z44" s="245" t="s">
        <v>621</v>
      </c>
      <c r="AA44" s="245" t="s">
        <v>621</v>
      </c>
      <c r="AB44" s="245" t="s">
        <v>621</v>
      </c>
      <c r="AC44" s="245" t="s">
        <v>621</v>
      </c>
      <c r="AD44" s="245" t="s">
        <v>621</v>
      </c>
      <c r="AE44" s="245" t="s">
        <v>621</v>
      </c>
      <c r="AF44" s="245" t="s">
        <v>621</v>
      </c>
      <c r="AG44" s="509" t="s">
        <v>621</v>
      </c>
      <c r="AH44" s="500" t="s">
        <v>621</v>
      </c>
      <c r="AI44" s="245">
        <v>0</v>
      </c>
      <c r="AJ44" s="245" t="s">
        <v>621</v>
      </c>
      <c r="AK44" s="245" t="s">
        <v>621</v>
      </c>
      <c r="AL44" s="245">
        <v>0</v>
      </c>
      <c r="AM44" s="245" t="s">
        <v>621</v>
      </c>
      <c r="AN44" s="245" t="s">
        <v>621</v>
      </c>
      <c r="AO44" s="245" t="s">
        <v>621</v>
      </c>
      <c r="AP44" s="246">
        <f>'3 (цены без НДС)'!AN42</f>
        <v>0.7</v>
      </c>
      <c r="AQ44" s="245" t="s">
        <v>621</v>
      </c>
      <c r="AR44" s="245" t="s">
        <v>621</v>
      </c>
      <c r="AS44" s="245">
        <f>'Ф1 2021'!O62</f>
        <v>0.37</v>
      </c>
      <c r="AT44" s="245" t="s">
        <v>621</v>
      </c>
      <c r="AU44" s="509" t="s">
        <v>621</v>
      </c>
      <c r="AV44" s="512" t="s">
        <v>621</v>
      </c>
      <c r="AW44" s="500">
        <v>0</v>
      </c>
      <c r="AX44" s="245" t="s">
        <v>621</v>
      </c>
      <c r="AY44" s="245" t="s">
        <v>621</v>
      </c>
      <c r="AZ44" s="245">
        <v>0</v>
      </c>
      <c r="BA44" s="245" t="s">
        <v>621</v>
      </c>
      <c r="BB44" s="245" t="s">
        <v>621</v>
      </c>
      <c r="BC44" s="246" t="str">
        <f t="shared" si="14"/>
        <v>нд</v>
      </c>
      <c r="BD44" s="245">
        <f t="shared" si="15"/>
        <v>0</v>
      </c>
      <c r="BE44" s="245" t="s">
        <v>621</v>
      </c>
      <c r="BF44" s="245" t="s">
        <v>621</v>
      </c>
      <c r="BG44" s="245">
        <f t="shared" si="16"/>
        <v>0</v>
      </c>
      <c r="BH44" s="245" t="s">
        <v>621</v>
      </c>
      <c r="BI44" s="497" t="s">
        <v>621</v>
      </c>
      <c r="BJ44" s="512" t="s">
        <v>621</v>
      </c>
      <c r="BK44" s="500" t="s">
        <v>621</v>
      </c>
      <c r="BL44" s="245" t="s">
        <v>621</v>
      </c>
      <c r="BM44" s="245" t="s">
        <v>621</v>
      </c>
      <c r="BN44" s="350">
        <v>0</v>
      </c>
      <c r="BO44" s="245" t="s">
        <v>621</v>
      </c>
      <c r="BP44" s="245" t="s">
        <v>621</v>
      </c>
      <c r="BQ44" s="245" t="s">
        <v>621</v>
      </c>
      <c r="BR44" s="245" t="s">
        <v>621</v>
      </c>
      <c r="BS44" s="245" t="s">
        <v>621</v>
      </c>
      <c r="BT44" s="245" t="s">
        <v>621</v>
      </c>
      <c r="BU44" s="245">
        <v>0</v>
      </c>
      <c r="BV44" s="245" t="s">
        <v>621</v>
      </c>
      <c r="BW44" s="509" t="s">
        <v>621</v>
      </c>
      <c r="BX44" s="512" t="s">
        <v>621</v>
      </c>
      <c r="BY44" s="568">
        <v>0</v>
      </c>
      <c r="BZ44" s="245" t="s">
        <v>621</v>
      </c>
      <c r="CA44" s="245" t="s">
        <v>621</v>
      </c>
      <c r="CB44" s="262">
        <v>0</v>
      </c>
      <c r="CC44" s="245" t="s">
        <v>621</v>
      </c>
      <c r="CD44" s="497" t="s">
        <v>621</v>
      </c>
      <c r="CE44" s="245" t="s">
        <v>621</v>
      </c>
      <c r="CF44" s="245">
        <f t="shared" si="3"/>
        <v>0</v>
      </c>
      <c r="CG44" s="245" t="s">
        <v>621</v>
      </c>
      <c r="CH44" s="245" t="s">
        <v>621</v>
      </c>
      <c r="CI44" s="245">
        <f t="shared" si="11"/>
        <v>0</v>
      </c>
      <c r="CJ44" s="245" t="s">
        <v>621</v>
      </c>
      <c r="CK44" s="509" t="s">
        <v>621</v>
      </c>
      <c r="CL44" s="512" t="s">
        <v>621</v>
      </c>
      <c r="CM44" s="568">
        <v>0</v>
      </c>
      <c r="CN44" s="245" t="s">
        <v>621</v>
      </c>
      <c r="CO44" s="245" t="s">
        <v>621</v>
      </c>
      <c r="CP44" s="961">
        <f t="shared" si="17"/>
        <v>0</v>
      </c>
      <c r="CQ44" s="245" t="s">
        <v>621</v>
      </c>
      <c r="CR44" s="245" t="s">
        <v>621</v>
      </c>
      <c r="CS44" s="512" t="s">
        <v>621</v>
      </c>
      <c r="CT44" s="246">
        <f>'3 (цены без НДС)'!P42</f>
        <v>0.7</v>
      </c>
      <c r="CU44" s="245" t="s">
        <v>621</v>
      </c>
      <c r="CV44" s="245" t="s">
        <v>621</v>
      </c>
      <c r="CW44" s="257">
        <f t="shared" si="18"/>
        <v>0.37</v>
      </c>
      <c r="CX44" s="245" t="s">
        <v>621</v>
      </c>
      <c r="CY44" s="509" t="s">
        <v>621</v>
      </c>
      <c r="CZ44" s="500" t="s">
        <v>621</v>
      </c>
    </row>
    <row r="45" spans="1:104" s="313" customFormat="1" ht="44.25" customHeight="1" x14ac:dyDescent="0.25">
      <c r="A45" s="1035" t="s">
        <v>1667</v>
      </c>
      <c r="B45" s="154" t="s">
        <v>1679</v>
      </c>
      <c r="C45" s="972" t="str">
        <f>'2 (цены с НДС)'!C43</f>
        <v>J_2021_1.2.2.1.21</v>
      </c>
      <c r="D45" s="246">
        <v>0</v>
      </c>
      <c r="E45" s="1003">
        <f>'3 (цены без НДС)'!AN43</f>
        <v>0.9</v>
      </c>
      <c r="F45" s="512" t="s">
        <v>621</v>
      </c>
      <c r="G45" s="245" t="s">
        <v>621</v>
      </c>
      <c r="H45" s="245" t="s">
        <v>621</v>
      </c>
      <c r="I45" s="245" t="s">
        <v>621</v>
      </c>
      <c r="J45" s="245" t="s">
        <v>621</v>
      </c>
      <c r="K45" s="245" t="s">
        <v>621</v>
      </c>
      <c r="L45" s="245" t="s">
        <v>621</v>
      </c>
      <c r="M45" s="245" t="s">
        <v>621</v>
      </c>
      <c r="N45" s="245" t="s">
        <v>621</v>
      </c>
      <c r="O45" s="245" t="s">
        <v>621</v>
      </c>
      <c r="P45" s="245" t="s">
        <v>621</v>
      </c>
      <c r="Q45" s="245" t="s">
        <v>621</v>
      </c>
      <c r="R45" s="245" t="s">
        <v>621</v>
      </c>
      <c r="S45" s="509" t="s">
        <v>621</v>
      </c>
      <c r="T45" s="512" t="s">
        <v>621</v>
      </c>
      <c r="U45" s="245" t="s">
        <v>621</v>
      </c>
      <c r="V45" s="245" t="s">
        <v>621</v>
      </c>
      <c r="W45" s="245" t="s">
        <v>621</v>
      </c>
      <c r="X45" s="350">
        <v>0</v>
      </c>
      <c r="Y45" s="245" t="s">
        <v>621</v>
      </c>
      <c r="Z45" s="245" t="s">
        <v>621</v>
      </c>
      <c r="AA45" s="245" t="s">
        <v>621</v>
      </c>
      <c r="AB45" s="245" t="s">
        <v>621</v>
      </c>
      <c r="AC45" s="245" t="s">
        <v>621</v>
      </c>
      <c r="AD45" s="245" t="s">
        <v>621</v>
      </c>
      <c r="AE45" s="245" t="s">
        <v>621</v>
      </c>
      <c r="AF45" s="245" t="s">
        <v>621</v>
      </c>
      <c r="AG45" s="509" t="s">
        <v>621</v>
      </c>
      <c r="AH45" s="500" t="s">
        <v>621</v>
      </c>
      <c r="AI45" s="245">
        <v>0</v>
      </c>
      <c r="AJ45" s="245" t="s">
        <v>621</v>
      </c>
      <c r="AK45" s="245" t="s">
        <v>621</v>
      </c>
      <c r="AL45" s="245">
        <v>0</v>
      </c>
      <c r="AM45" s="245" t="s">
        <v>621</v>
      </c>
      <c r="AN45" s="245" t="s">
        <v>621</v>
      </c>
      <c r="AO45" s="245" t="s">
        <v>621</v>
      </c>
      <c r="AP45" s="246">
        <f>'3 (цены без НДС)'!AN43</f>
        <v>0.9</v>
      </c>
      <c r="AQ45" s="245" t="s">
        <v>621</v>
      </c>
      <c r="AR45" s="245" t="s">
        <v>621</v>
      </c>
      <c r="AS45" s="245">
        <f>'Ф1 2021'!O63</f>
        <v>0.45400000000000001</v>
      </c>
      <c r="AT45" s="245" t="s">
        <v>621</v>
      </c>
      <c r="AU45" s="509" t="s">
        <v>621</v>
      </c>
      <c r="AV45" s="512" t="s">
        <v>621</v>
      </c>
      <c r="AW45" s="500">
        <v>0</v>
      </c>
      <c r="AX45" s="245" t="s">
        <v>621</v>
      </c>
      <c r="AY45" s="245" t="s">
        <v>621</v>
      </c>
      <c r="AZ45" s="245">
        <v>0</v>
      </c>
      <c r="BA45" s="245" t="s">
        <v>621</v>
      </c>
      <c r="BB45" s="245" t="s">
        <v>621</v>
      </c>
      <c r="BC45" s="246" t="str">
        <f t="shared" si="14"/>
        <v>нд</v>
      </c>
      <c r="BD45" s="245">
        <f t="shared" si="15"/>
        <v>0</v>
      </c>
      <c r="BE45" s="245" t="s">
        <v>621</v>
      </c>
      <c r="BF45" s="245" t="s">
        <v>621</v>
      </c>
      <c r="BG45" s="245">
        <f t="shared" si="16"/>
        <v>0</v>
      </c>
      <c r="BH45" s="245" t="s">
        <v>621</v>
      </c>
      <c r="BI45" s="497" t="s">
        <v>621</v>
      </c>
      <c r="BJ45" s="512" t="s">
        <v>621</v>
      </c>
      <c r="BK45" s="500" t="s">
        <v>621</v>
      </c>
      <c r="BL45" s="245" t="s">
        <v>621</v>
      </c>
      <c r="BM45" s="245" t="s">
        <v>621</v>
      </c>
      <c r="BN45" s="350">
        <v>0</v>
      </c>
      <c r="BO45" s="245" t="s">
        <v>621</v>
      </c>
      <c r="BP45" s="245" t="s">
        <v>621</v>
      </c>
      <c r="BQ45" s="245" t="s">
        <v>621</v>
      </c>
      <c r="BR45" s="245" t="s">
        <v>621</v>
      </c>
      <c r="BS45" s="245" t="s">
        <v>621</v>
      </c>
      <c r="BT45" s="245" t="s">
        <v>621</v>
      </c>
      <c r="BU45" s="245">
        <v>0</v>
      </c>
      <c r="BV45" s="245" t="s">
        <v>621</v>
      </c>
      <c r="BW45" s="509" t="s">
        <v>621</v>
      </c>
      <c r="BX45" s="512" t="s">
        <v>621</v>
      </c>
      <c r="BY45" s="568">
        <v>0</v>
      </c>
      <c r="BZ45" s="245" t="s">
        <v>621</v>
      </c>
      <c r="CA45" s="245" t="s">
        <v>621</v>
      </c>
      <c r="CB45" s="262">
        <v>0</v>
      </c>
      <c r="CC45" s="245" t="s">
        <v>621</v>
      </c>
      <c r="CD45" s="497" t="s">
        <v>621</v>
      </c>
      <c r="CE45" s="245" t="s">
        <v>621</v>
      </c>
      <c r="CF45" s="245">
        <f t="shared" si="3"/>
        <v>0</v>
      </c>
      <c r="CG45" s="245" t="s">
        <v>621</v>
      </c>
      <c r="CH45" s="245" t="s">
        <v>621</v>
      </c>
      <c r="CI45" s="245">
        <f t="shared" si="11"/>
        <v>0</v>
      </c>
      <c r="CJ45" s="245" t="s">
        <v>621</v>
      </c>
      <c r="CK45" s="509" t="s">
        <v>621</v>
      </c>
      <c r="CL45" s="512" t="s">
        <v>621</v>
      </c>
      <c r="CM45" s="568">
        <v>0</v>
      </c>
      <c r="CN45" s="245" t="s">
        <v>621</v>
      </c>
      <c r="CO45" s="245" t="s">
        <v>621</v>
      </c>
      <c r="CP45" s="961">
        <f t="shared" si="17"/>
        <v>0</v>
      </c>
      <c r="CQ45" s="245" t="s">
        <v>621</v>
      </c>
      <c r="CR45" s="245" t="s">
        <v>621</v>
      </c>
      <c r="CS45" s="512" t="s">
        <v>621</v>
      </c>
      <c r="CT45" s="246">
        <f>'3 (цены без НДС)'!P43</f>
        <v>0.9</v>
      </c>
      <c r="CU45" s="245" t="s">
        <v>621</v>
      </c>
      <c r="CV45" s="245" t="s">
        <v>621</v>
      </c>
      <c r="CW45" s="257">
        <f t="shared" si="18"/>
        <v>0.45400000000000001</v>
      </c>
      <c r="CX45" s="245" t="s">
        <v>621</v>
      </c>
      <c r="CY45" s="509" t="s">
        <v>621</v>
      </c>
      <c r="CZ45" s="500" t="s">
        <v>621</v>
      </c>
    </row>
    <row r="46" spans="1:104" s="313" customFormat="1" ht="44.25" customHeight="1" x14ac:dyDescent="0.25">
      <c r="A46" s="1035" t="s">
        <v>1668</v>
      </c>
      <c r="B46" s="154" t="s">
        <v>1680</v>
      </c>
      <c r="C46" s="972" t="str">
        <f>'2 (цены с НДС)'!C44</f>
        <v>J_2021_1.2.2.1.22</v>
      </c>
      <c r="D46" s="246">
        <v>0</v>
      </c>
      <c r="E46" s="1003">
        <f>'3 (цены без НДС)'!AN44</f>
        <v>0.7</v>
      </c>
      <c r="F46" s="512" t="s">
        <v>621</v>
      </c>
      <c r="G46" s="245" t="s">
        <v>621</v>
      </c>
      <c r="H46" s="245" t="s">
        <v>621</v>
      </c>
      <c r="I46" s="245" t="s">
        <v>621</v>
      </c>
      <c r="J46" s="245" t="s">
        <v>621</v>
      </c>
      <c r="K46" s="245" t="s">
        <v>621</v>
      </c>
      <c r="L46" s="245" t="s">
        <v>621</v>
      </c>
      <c r="M46" s="245" t="s">
        <v>621</v>
      </c>
      <c r="N46" s="245" t="s">
        <v>621</v>
      </c>
      <c r="O46" s="245" t="s">
        <v>621</v>
      </c>
      <c r="P46" s="245" t="s">
        <v>621</v>
      </c>
      <c r="Q46" s="245" t="s">
        <v>621</v>
      </c>
      <c r="R46" s="245" t="s">
        <v>621</v>
      </c>
      <c r="S46" s="509" t="s">
        <v>621</v>
      </c>
      <c r="T46" s="512" t="s">
        <v>621</v>
      </c>
      <c r="U46" s="245" t="s">
        <v>621</v>
      </c>
      <c r="V46" s="245" t="s">
        <v>621</v>
      </c>
      <c r="W46" s="245" t="s">
        <v>621</v>
      </c>
      <c r="X46" s="350">
        <v>0</v>
      </c>
      <c r="Y46" s="245" t="s">
        <v>621</v>
      </c>
      <c r="Z46" s="245" t="s">
        <v>621</v>
      </c>
      <c r="AA46" s="245" t="s">
        <v>621</v>
      </c>
      <c r="AB46" s="245" t="s">
        <v>621</v>
      </c>
      <c r="AC46" s="245" t="s">
        <v>621</v>
      </c>
      <c r="AD46" s="245" t="s">
        <v>621</v>
      </c>
      <c r="AE46" s="245" t="s">
        <v>621</v>
      </c>
      <c r="AF46" s="245" t="s">
        <v>621</v>
      </c>
      <c r="AG46" s="509" t="s">
        <v>621</v>
      </c>
      <c r="AH46" s="500" t="s">
        <v>621</v>
      </c>
      <c r="AI46" s="245">
        <v>0</v>
      </c>
      <c r="AJ46" s="245" t="s">
        <v>621</v>
      </c>
      <c r="AK46" s="245" t="s">
        <v>621</v>
      </c>
      <c r="AL46" s="245">
        <v>0</v>
      </c>
      <c r="AM46" s="245" t="s">
        <v>621</v>
      </c>
      <c r="AN46" s="245" t="s">
        <v>621</v>
      </c>
      <c r="AO46" s="245" t="s">
        <v>621</v>
      </c>
      <c r="AP46" s="246">
        <f>'3 (цены без НДС)'!AN44</f>
        <v>0.7</v>
      </c>
      <c r="AQ46" s="245" t="s">
        <v>621</v>
      </c>
      <c r="AR46" s="245" t="s">
        <v>621</v>
      </c>
      <c r="AS46" s="245">
        <f>'Ф1 2021'!O64</f>
        <v>0.36899999999999999</v>
      </c>
      <c r="AT46" s="245" t="s">
        <v>621</v>
      </c>
      <c r="AU46" s="509" t="s">
        <v>621</v>
      </c>
      <c r="AV46" s="512" t="s">
        <v>621</v>
      </c>
      <c r="AW46" s="500">
        <v>0</v>
      </c>
      <c r="AX46" s="245" t="s">
        <v>621</v>
      </c>
      <c r="AY46" s="245" t="s">
        <v>621</v>
      </c>
      <c r="AZ46" s="245">
        <v>0</v>
      </c>
      <c r="BA46" s="245" t="s">
        <v>621</v>
      </c>
      <c r="BB46" s="245" t="s">
        <v>621</v>
      </c>
      <c r="BC46" s="246" t="str">
        <f t="shared" si="14"/>
        <v>нд</v>
      </c>
      <c r="BD46" s="245">
        <f t="shared" si="15"/>
        <v>0</v>
      </c>
      <c r="BE46" s="245" t="s">
        <v>621</v>
      </c>
      <c r="BF46" s="245" t="s">
        <v>621</v>
      </c>
      <c r="BG46" s="245">
        <f t="shared" si="16"/>
        <v>0</v>
      </c>
      <c r="BH46" s="245" t="s">
        <v>621</v>
      </c>
      <c r="BI46" s="497" t="s">
        <v>621</v>
      </c>
      <c r="BJ46" s="512" t="s">
        <v>621</v>
      </c>
      <c r="BK46" s="500" t="s">
        <v>621</v>
      </c>
      <c r="BL46" s="245" t="s">
        <v>621</v>
      </c>
      <c r="BM46" s="245" t="s">
        <v>621</v>
      </c>
      <c r="BN46" s="350">
        <v>0</v>
      </c>
      <c r="BO46" s="245" t="s">
        <v>621</v>
      </c>
      <c r="BP46" s="245" t="s">
        <v>621</v>
      </c>
      <c r="BQ46" s="245" t="s">
        <v>621</v>
      </c>
      <c r="BR46" s="245" t="s">
        <v>621</v>
      </c>
      <c r="BS46" s="245" t="s">
        <v>621</v>
      </c>
      <c r="BT46" s="245" t="s">
        <v>621</v>
      </c>
      <c r="BU46" s="245">
        <v>0</v>
      </c>
      <c r="BV46" s="245" t="s">
        <v>621</v>
      </c>
      <c r="BW46" s="509" t="s">
        <v>621</v>
      </c>
      <c r="BX46" s="512" t="s">
        <v>621</v>
      </c>
      <c r="BY46" s="568">
        <v>0</v>
      </c>
      <c r="BZ46" s="245" t="s">
        <v>621</v>
      </c>
      <c r="CA46" s="245" t="s">
        <v>621</v>
      </c>
      <c r="CB46" s="262">
        <v>0</v>
      </c>
      <c r="CC46" s="245" t="s">
        <v>621</v>
      </c>
      <c r="CD46" s="497" t="s">
        <v>621</v>
      </c>
      <c r="CE46" s="245" t="s">
        <v>621</v>
      </c>
      <c r="CF46" s="245">
        <f t="shared" si="3"/>
        <v>0</v>
      </c>
      <c r="CG46" s="245" t="s">
        <v>621</v>
      </c>
      <c r="CH46" s="245" t="s">
        <v>621</v>
      </c>
      <c r="CI46" s="245">
        <f t="shared" si="11"/>
        <v>0</v>
      </c>
      <c r="CJ46" s="245" t="s">
        <v>621</v>
      </c>
      <c r="CK46" s="509" t="s">
        <v>621</v>
      </c>
      <c r="CL46" s="512" t="s">
        <v>621</v>
      </c>
      <c r="CM46" s="568">
        <v>0</v>
      </c>
      <c r="CN46" s="245" t="s">
        <v>621</v>
      </c>
      <c r="CO46" s="245" t="s">
        <v>621</v>
      </c>
      <c r="CP46" s="961">
        <f t="shared" si="17"/>
        <v>0</v>
      </c>
      <c r="CQ46" s="245" t="s">
        <v>621</v>
      </c>
      <c r="CR46" s="245" t="s">
        <v>621</v>
      </c>
      <c r="CS46" s="512" t="s">
        <v>621</v>
      </c>
      <c r="CT46" s="246">
        <f>'3 (цены без НДС)'!P44</f>
        <v>0.7</v>
      </c>
      <c r="CU46" s="245" t="s">
        <v>621</v>
      </c>
      <c r="CV46" s="245" t="s">
        <v>621</v>
      </c>
      <c r="CW46" s="257">
        <f t="shared" si="18"/>
        <v>0.36899999999999999</v>
      </c>
      <c r="CX46" s="245" t="s">
        <v>621</v>
      </c>
      <c r="CY46" s="509" t="s">
        <v>621</v>
      </c>
      <c r="CZ46" s="500" t="s">
        <v>621</v>
      </c>
    </row>
    <row r="47" spans="1:104" s="313" customFormat="1" ht="38.25" customHeight="1" x14ac:dyDescent="0.25">
      <c r="A47" s="1035" t="s">
        <v>1669</v>
      </c>
      <c r="B47" s="154" t="s">
        <v>1681</v>
      </c>
      <c r="C47" s="972" t="str">
        <f>'2 (цены с НДС)'!C45</f>
        <v>J_2021_1.2.2.1.23</v>
      </c>
      <c r="D47" s="246">
        <v>0</v>
      </c>
      <c r="E47" s="1003">
        <f>'3 (цены без НДС)'!AN45</f>
        <v>1.8</v>
      </c>
      <c r="F47" s="512" t="s">
        <v>621</v>
      </c>
      <c r="G47" s="245" t="s">
        <v>621</v>
      </c>
      <c r="H47" s="245" t="s">
        <v>621</v>
      </c>
      <c r="I47" s="245" t="s">
        <v>621</v>
      </c>
      <c r="J47" s="245" t="s">
        <v>621</v>
      </c>
      <c r="K47" s="245" t="s">
        <v>621</v>
      </c>
      <c r="L47" s="245" t="s">
        <v>621</v>
      </c>
      <c r="M47" s="245" t="s">
        <v>621</v>
      </c>
      <c r="N47" s="245" t="s">
        <v>621</v>
      </c>
      <c r="O47" s="245" t="s">
        <v>621</v>
      </c>
      <c r="P47" s="245" t="s">
        <v>621</v>
      </c>
      <c r="Q47" s="245" t="s">
        <v>621</v>
      </c>
      <c r="R47" s="245" t="s">
        <v>621</v>
      </c>
      <c r="S47" s="509" t="s">
        <v>621</v>
      </c>
      <c r="T47" s="512" t="s">
        <v>621</v>
      </c>
      <c r="U47" s="245" t="s">
        <v>621</v>
      </c>
      <c r="V47" s="245" t="s">
        <v>621</v>
      </c>
      <c r="W47" s="245" t="s">
        <v>621</v>
      </c>
      <c r="X47" s="350">
        <v>0</v>
      </c>
      <c r="Y47" s="245" t="s">
        <v>621</v>
      </c>
      <c r="Z47" s="245" t="s">
        <v>621</v>
      </c>
      <c r="AA47" s="245" t="s">
        <v>621</v>
      </c>
      <c r="AB47" s="245" t="s">
        <v>621</v>
      </c>
      <c r="AC47" s="245" t="s">
        <v>621</v>
      </c>
      <c r="AD47" s="245" t="s">
        <v>621</v>
      </c>
      <c r="AE47" s="245" t="s">
        <v>621</v>
      </c>
      <c r="AF47" s="245" t="s">
        <v>621</v>
      </c>
      <c r="AG47" s="509" t="s">
        <v>621</v>
      </c>
      <c r="AH47" s="500" t="s">
        <v>621</v>
      </c>
      <c r="AI47" s="245">
        <v>0</v>
      </c>
      <c r="AJ47" s="245" t="s">
        <v>621</v>
      </c>
      <c r="AK47" s="245" t="s">
        <v>621</v>
      </c>
      <c r="AL47" s="245">
        <v>0</v>
      </c>
      <c r="AM47" s="245" t="s">
        <v>621</v>
      </c>
      <c r="AN47" s="245" t="s">
        <v>621</v>
      </c>
      <c r="AO47" s="245" t="s">
        <v>621</v>
      </c>
      <c r="AP47" s="246">
        <f>'3 (цены без НДС)'!AN45</f>
        <v>1.8</v>
      </c>
      <c r="AQ47" s="245" t="s">
        <v>621</v>
      </c>
      <c r="AR47" s="245" t="s">
        <v>621</v>
      </c>
      <c r="AS47" s="245">
        <f>'Ф1 2021'!O65</f>
        <v>1.032</v>
      </c>
      <c r="AT47" s="245" t="s">
        <v>621</v>
      </c>
      <c r="AU47" s="509" t="s">
        <v>621</v>
      </c>
      <c r="AV47" s="512" t="s">
        <v>621</v>
      </c>
      <c r="AW47" s="500">
        <v>0</v>
      </c>
      <c r="AX47" s="245" t="s">
        <v>621</v>
      </c>
      <c r="AY47" s="245" t="s">
        <v>621</v>
      </c>
      <c r="AZ47" s="245">
        <v>0</v>
      </c>
      <c r="BA47" s="245" t="s">
        <v>621</v>
      </c>
      <c r="BB47" s="245" t="s">
        <v>621</v>
      </c>
      <c r="BC47" s="246" t="str">
        <f t="shared" si="14"/>
        <v>нд</v>
      </c>
      <c r="BD47" s="245">
        <f t="shared" si="15"/>
        <v>0</v>
      </c>
      <c r="BE47" s="245" t="s">
        <v>621</v>
      </c>
      <c r="BF47" s="245" t="s">
        <v>621</v>
      </c>
      <c r="BG47" s="245">
        <f t="shared" si="16"/>
        <v>0</v>
      </c>
      <c r="BH47" s="245" t="s">
        <v>621</v>
      </c>
      <c r="BI47" s="497" t="s">
        <v>621</v>
      </c>
      <c r="BJ47" s="512" t="s">
        <v>621</v>
      </c>
      <c r="BK47" s="500" t="s">
        <v>621</v>
      </c>
      <c r="BL47" s="245" t="s">
        <v>621</v>
      </c>
      <c r="BM47" s="245" t="s">
        <v>621</v>
      </c>
      <c r="BN47" s="350">
        <v>0</v>
      </c>
      <c r="BO47" s="245" t="s">
        <v>621</v>
      </c>
      <c r="BP47" s="245" t="s">
        <v>621</v>
      </c>
      <c r="BQ47" s="245" t="s">
        <v>621</v>
      </c>
      <c r="BR47" s="245" t="s">
        <v>621</v>
      </c>
      <c r="BS47" s="245" t="s">
        <v>621</v>
      </c>
      <c r="BT47" s="245" t="s">
        <v>621</v>
      </c>
      <c r="BU47" s="245">
        <v>0</v>
      </c>
      <c r="BV47" s="245" t="s">
        <v>621</v>
      </c>
      <c r="BW47" s="509" t="s">
        <v>621</v>
      </c>
      <c r="BX47" s="512" t="s">
        <v>621</v>
      </c>
      <c r="BY47" s="568">
        <v>0</v>
      </c>
      <c r="BZ47" s="245" t="s">
        <v>621</v>
      </c>
      <c r="CA47" s="245" t="s">
        <v>621</v>
      </c>
      <c r="CB47" s="262">
        <v>0</v>
      </c>
      <c r="CC47" s="245" t="s">
        <v>621</v>
      </c>
      <c r="CD47" s="497" t="s">
        <v>621</v>
      </c>
      <c r="CE47" s="245" t="s">
        <v>621</v>
      </c>
      <c r="CF47" s="245">
        <f t="shared" si="3"/>
        <v>0</v>
      </c>
      <c r="CG47" s="245" t="s">
        <v>621</v>
      </c>
      <c r="CH47" s="245" t="s">
        <v>621</v>
      </c>
      <c r="CI47" s="245">
        <f t="shared" si="11"/>
        <v>0</v>
      </c>
      <c r="CJ47" s="245" t="s">
        <v>621</v>
      </c>
      <c r="CK47" s="509" t="s">
        <v>621</v>
      </c>
      <c r="CL47" s="512" t="s">
        <v>621</v>
      </c>
      <c r="CM47" s="568">
        <v>0</v>
      </c>
      <c r="CN47" s="245" t="s">
        <v>621</v>
      </c>
      <c r="CO47" s="245" t="s">
        <v>621</v>
      </c>
      <c r="CP47" s="961">
        <f t="shared" si="17"/>
        <v>0</v>
      </c>
      <c r="CQ47" s="245" t="s">
        <v>621</v>
      </c>
      <c r="CR47" s="245" t="s">
        <v>621</v>
      </c>
      <c r="CS47" s="512" t="s">
        <v>621</v>
      </c>
      <c r="CT47" s="246">
        <f>'3 (цены без НДС)'!P45</f>
        <v>1.8</v>
      </c>
      <c r="CU47" s="245" t="s">
        <v>621</v>
      </c>
      <c r="CV47" s="245" t="s">
        <v>621</v>
      </c>
      <c r="CW47" s="257">
        <f t="shared" si="18"/>
        <v>1.032</v>
      </c>
      <c r="CX47" s="245" t="s">
        <v>621</v>
      </c>
      <c r="CY47" s="509" t="s">
        <v>621</v>
      </c>
      <c r="CZ47" s="500" t="s">
        <v>621</v>
      </c>
    </row>
    <row r="48" spans="1:104" s="313" customFormat="1" ht="38.25" customHeight="1" x14ac:dyDescent="0.25">
      <c r="A48" s="1035" t="s">
        <v>1670</v>
      </c>
      <c r="B48" s="154" t="s">
        <v>1682</v>
      </c>
      <c r="C48" s="972" t="str">
        <f>'2 (цены с НДС)'!C46</f>
        <v>J_2021_1.2.2.1.24</v>
      </c>
      <c r="D48" s="246">
        <v>0</v>
      </c>
      <c r="E48" s="1003">
        <f>'3 (цены без НДС)'!AN46</f>
        <v>0.8</v>
      </c>
      <c r="F48" s="512" t="s">
        <v>621</v>
      </c>
      <c r="G48" s="245" t="s">
        <v>621</v>
      </c>
      <c r="H48" s="245" t="s">
        <v>621</v>
      </c>
      <c r="I48" s="245" t="s">
        <v>621</v>
      </c>
      <c r="J48" s="245" t="s">
        <v>621</v>
      </c>
      <c r="K48" s="245" t="s">
        <v>621</v>
      </c>
      <c r="L48" s="245" t="s">
        <v>621</v>
      </c>
      <c r="M48" s="245" t="s">
        <v>621</v>
      </c>
      <c r="N48" s="245" t="s">
        <v>621</v>
      </c>
      <c r="O48" s="245" t="s">
        <v>621</v>
      </c>
      <c r="P48" s="245" t="s">
        <v>621</v>
      </c>
      <c r="Q48" s="245" t="s">
        <v>621</v>
      </c>
      <c r="R48" s="245" t="s">
        <v>621</v>
      </c>
      <c r="S48" s="509" t="s">
        <v>621</v>
      </c>
      <c r="T48" s="512" t="s">
        <v>621</v>
      </c>
      <c r="U48" s="245" t="s">
        <v>621</v>
      </c>
      <c r="V48" s="245" t="s">
        <v>621</v>
      </c>
      <c r="W48" s="245" t="s">
        <v>621</v>
      </c>
      <c r="X48" s="350">
        <v>0</v>
      </c>
      <c r="Y48" s="245" t="s">
        <v>621</v>
      </c>
      <c r="Z48" s="245" t="s">
        <v>621</v>
      </c>
      <c r="AA48" s="245" t="s">
        <v>621</v>
      </c>
      <c r="AB48" s="245" t="s">
        <v>621</v>
      </c>
      <c r="AC48" s="245" t="s">
        <v>621</v>
      </c>
      <c r="AD48" s="245" t="s">
        <v>621</v>
      </c>
      <c r="AE48" s="245" t="s">
        <v>621</v>
      </c>
      <c r="AF48" s="245" t="s">
        <v>621</v>
      </c>
      <c r="AG48" s="509" t="s">
        <v>621</v>
      </c>
      <c r="AH48" s="500" t="s">
        <v>621</v>
      </c>
      <c r="AI48" s="245">
        <v>0</v>
      </c>
      <c r="AJ48" s="245" t="s">
        <v>621</v>
      </c>
      <c r="AK48" s="245" t="s">
        <v>621</v>
      </c>
      <c r="AL48" s="245">
        <v>0</v>
      </c>
      <c r="AM48" s="245" t="s">
        <v>621</v>
      </c>
      <c r="AN48" s="245" t="s">
        <v>621</v>
      </c>
      <c r="AO48" s="245" t="s">
        <v>621</v>
      </c>
      <c r="AP48" s="246">
        <f>'3 (цены без НДС)'!AN46</f>
        <v>0.8</v>
      </c>
      <c r="AQ48" s="245" t="s">
        <v>621</v>
      </c>
      <c r="AR48" s="245" t="s">
        <v>621</v>
      </c>
      <c r="AS48" s="245">
        <f>'Ф1 2021'!O66</f>
        <v>0.41299999999999998</v>
      </c>
      <c r="AT48" s="245" t="s">
        <v>621</v>
      </c>
      <c r="AU48" s="509" t="s">
        <v>621</v>
      </c>
      <c r="AV48" s="512" t="s">
        <v>621</v>
      </c>
      <c r="AW48" s="500">
        <v>0</v>
      </c>
      <c r="AX48" s="245" t="s">
        <v>621</v>
      </c>
      <c r="AY48" s="245" t="s">
        <v>621</v>
      </c>
      <c r="AZ48" s="245">
        <v>0</v>
      </c>
      <c r="BA48" s="245" t="s">
        <v>621</v>
      </c>
      <c r="BB48" s="245" t="s">
        <v>621</v>
      </c>
      <c r="BC48" s="246" t="str">
        <f t="shared" si="14"/>
        <v>нд</v>
      </c>
      <c r="BD48" s="245">
        <f t="shared" si="15"/>
        <v>0</v>
      </c>
      <c r="BE48" s="245" t="s">
        <v>621</v>
      </c>
      <c r="BF48" s="245" t="s">
        <v>621</v>
      </c>
      <c r="BG48" s="245">
        <f t="shared" si="16"/>
        <v>0</v>
      </c>
      <c r="BH48" s="245" t="s">
        <v>621</v>
      </c>
      <c r="BI48" s="497" t="s">
        <v>621</v>
      </c>
      <c r="BJ48" s="512" t="s">
        <v>621</v>
      </c>
      <c r="BK48" s="500" t="s">
        <v>621</v>
      </c>
      <c r="BL48" s="245" t="s">
        <v>621</v>
      </c>
      <c r="BM48" s="245" t="s">
        <v>621</v>
      </c>
      <c r="BN48" s="350">
        <v>0</v>
      </c>
      <c r="BO48" s="245" t="s">
        <v>621</v>
      </c>
      <c r="BP48" s="245" t="s">
        <v>621</v>
      </c>
      <c r="BQ48" s="245" t="s">
        <v>621</v>
      </c>
      <c r="BR48" s="245" t="s">
        <v>621</v>
      </c>
      <c r="BS48" s="245" t="s">
        <v>621</v>
      </c>
      <c r="BT48" s="245" t="s">
        <v>621</v>
      </c>
      <c r="BU48" s="245">
        <v>0</v>
      </c>
      <c r="BV48" s="245" t="s">
        <v>621</v>
      </c>
      <c r="BW48" s="509" t="s">
        <v>621</v>
      </c>
      <c r="BX48" s="512" t="s">
        <v>621</v>
      </c>
      <c r="BY48" s="568">
        <v>0</v>
      </c>
      <c r="BZ48" s="245" t="s">
        <v>621</v>
      </c>
      <c r="CA48" s="245" t="s">
        <v>621</v>
      </c>
      <c r="CB48" s="262">
        <v>0</v>
      </c>
      <c r="CC48" s="245" t="s">
        <v>621</v>
      </c>
      <c r="CD48" s="497" t="s">
        <v>621</v>
      </c>
      <c r="CE48" s="245" t="s">
        <v>621</v>
      </c>
      <c r="CF48" s="245">
        <f t="shared" si="3"/>
        <v>0</v>
      </c>
      <c r="CG48" s="245" t="s">
        <v>621</v>
      </c>
      <c r="CH48" s="245" t="s">
        <v>621</v>
      </c>
      <c r="CI48" s="245">
        <f t="shared" si="11"/>
        <v>0</v>
      </c>
      <c r="CJ48" s="245" t="s">
        <v>621</v>
      </c>
      <c r="CK48" s="509" t="s">
        <v>621</v>
      </c>
      <c r="CL48" s="512" t="s">
        <v>621</v>
      </c>
      <c r="CM48" s="568">
        <v>0</v>
      </c>
      <c r="CN48" s="245" t="s">
        <v>621</v>
      </c>
      <c r="CO48" s="245" t="s">
        <v>621</v>
      </c>
      <c r="CP48" s="961">
        <f t="shared" si="17"/>
        <v>0</v>
      </c>
      <c r="CQ48" s="245" t="s">
        <v>621</v>
      </c>
      <c r="CR48" s="245" t="s">
        <v>621</v>
      </c>
      <c r="CS48" s="512" t="s">
        <v>621</v>
      </c>
      <c r="CT48" s="246">
        <f>'3 (цены без НДС)'!P46</f>
        <v>0.8</v>
      </c>
      <c r="CU48" s="245" t="s">
        <v>621</v>
      </c>
      <c r="CV48" s="245" t="s">
        <v>621</v>
      </c>
      <c r="CW48" s="257">
        <f t="shared" si="18"/>
        <v>0.41299999999999998</v>
      </c>
      <c r="CX48" s="245" t="s">
        <v>621</v>
      </c>
      <c r="CY48" s="509" t="s">
        <v>621</v>
      </c>
      <c r="CZ48" s="500" t="s">
        <v>621</v>
      </c>
    </row>
    <row r="49" spans="1:104" s="313" customFormat="1" ht="41.25" customHeight="1" x14ac:dyDescent="0.25">
      <c r="A49" s="1038" t="s">
        <v>1716</v>
      </c>
      <c r="B49" s="154" t="s">
        <v>1715</v>
      </c>
      <c r="C49" s="395" t="s">
        <v>1730</v>
      </c>
      <c r="D49" s="246">
        <v>0</v>
      </c>
      <c r="E49" s="1003">
        <f>'3 (цены без НДС)'!AN47</f>
        <v>15.68</v>
      </c>
      <c r="F49" s="512" t="s">
        <v>621</v>
      </c>
      <c r="G49" s="245" t="s">
        <v>621</v>
      </c>
      <c r="H49" s="245" t="s">
        <v>621</v>
      </c>
      <c r="I49" s="245" t="s">
        <v>621</v>
      </c>
      <c r="J49" s="245" t="s">
        <v>621</v>
      </c>
      <c r="K49" s="245" t="s">
        <v>621</v>
      </c>
      <c r="L49" s="245" t="s">
        <v>621</v>
      </c>
      <c r="M49" s="245" t="s">
        <v>621</v>
      </c>
      <c r="N49" s="245" t="s">
        <v>621</v>
      </c>
      <c r="O49" s="245" t="s">
        <v>621</v>
      </c>
      <c r="P49" s="245" t="s">
        <v>621</v>
      </c>
      <c r="Q49" s="245" t="s">
        <v>621</v>
      </c>
      <c r="R49" s="245" t="s">
        <v>621</v>
      </c>
      <c r="S49" s="509" t="s">
        <v>621</v>
      </c>
      <c r="T49" s="512" t="s">
        <v>621</v>
      </c>
      <c r="U49" s="245" t="s">
        <v>621</v>
      </c>
      <c r="V49" s="245" t="s">
        <v>621</v>
      </c>
      <c r="W49" s="245" t="s">
        <v>621</v>
      </c>
      <c r="X49" s="350">
        <v>0</v>
      </c>
      <c r="Y49" s="245" t="s">
        <v>621</v>
      </c>
      <c r="Z49" s="245" t="s">
        <v>621</v>
      </c>
      <c r="AA49" s="245" t="s">
        <v>621</v>
      </c>
      <c r="AB49" s="246">
        <f>E49</f>
        <v>15.68</v>
      </c>
      <c r="AC49" s="245" t="s">
        <v>621</v>
      </c>
      <c r="AD49" s="245" t="s">
        <v>621</v>
      </c>
      <c r="AE49" s="245">
        <v>6.96</v>
      </c>
      <c r="AF49" s="245" t="s">
        <v>621</v>
      </c>
      <c r="AG49" s="509" t="s">
        <v>621</v>
      </c>
      <c r="AH49" s="500" t="s">
        <v>621</v>
      </c>
      <c r="AI49" s="245">
        <v>0</v>
      </c>
      <c r="AJ49" s="245" t="s">
        <v>621</v>
      </c>
      <c r="AK49" s="245" t="s">
        <v>621</v>
      </c>
      <c r="AL49" s="245">
        <v>0</v>
      </c>
      <c r="AM49" s="245" t="s">
        <v>621</v>
      </c>
      <c r="AN49" s="245" t="s">
        <v>621</v>
      </c>
      <c r="AO49" s="245" t="s">
        <v>621</v>
      </c>
      <c r="AP49" s="246">
        <v>0</v>
      </c>
      <c r="AQ49" s="245" t="s">
        <v>621</v>
      </c>
      <c r="AR49" s="245" t="s">
        <v>621</v>
      </c>
      <c r="AS49" s="245">
        <v>0</v>
      </c>
      <c r="AT49" s="245" t="s">
        <v>621</v>
      </c>
      <c r="AU49" s="509" t="s">
        <v>621</v>
      </c>
      <c r="AV49" s="512" t="s">
        <v>621</v>
      </c>
      <c r="AW49" s="500">
        <v>0</v>
      </c>
      <c r="AX49" s="245" t="s">
        <v>621</v>
      </c>
      <c r="AY49" s="245" t="s">
        <v>621</v>
      </c>
      <c r="AZ49" s="245">
        <v>0</v>
      </c>
      <c r="BA49" s="245" t="s">
        <v>621</v>
      </c>
      <c r="BB49" s="245" t="s">
        <v>621</v>
      </c>
      <c r="BC49" s="246" t="str">
        <f>AV49</f>
        <v>нд</v>
      </c>
      <c r="BD49" s="246">
        <f>CT49</f>
        <v>15.68</v>
      </c>
      <c r="BE49" s="245" t="s">
        <v>621</v>
      </c>
      <c r="BF49" s="245" t="s">
        <v>621</v>
      </c>
      <c r="BG49" s="245">
        <v>6.96</v>
      </c>
      <c r="BH49" s="245" t="s">
        <v>621</v>
      </c>
      <c r="BI49" s="497" t="s">
        <v>621</v>
      </c>
      <c r="BJ49" s="512" t="s">
        <v>621</v>
      </c>
      <c r="BK49" s="500" t="s">
        <v>621</v>
      </c>
      <c r="BL49" s="245" t="s">
        <v>621</v>
      </c>
      <c r="BM49" s="245" t="s">
        <v>621</v>
      </c>
      <c r="BN49" s="350">
        <v>0</v>
      </c>
      <c r="BO49" s="245" t="s">
        <v>621</v>
      </c>
      <c r="BP49" s="245" t="s">
        <v>621</v>
      </c>
      <c r="BQ49" s="245" t="s">
        <v>621</v>
      </c>
      <c r="BR49" s="245" t="s">
        <v>621</v>
      </c>
      <c r="BS49" s="245" t="s">
        <v>621</v>
      </c>
      <c r="BT49" s="245" t="s">
        <v>621</v>
      </c>
      <c r="BU49" s="245">
        <v>0</v>
      </c>
      <c r="BV49" s="245" t="s">
        <v>621</v>
      </c>
      <c r="BW49" s="509" t="s">
        <v>621</v>
      </c>
      <c r="BX49" s="512" t="s">
        <v>621</v>
      </c>
      <c r="BY49" s="568">
        <v>0</v>
      </c>
      <c r="BZ49" s="245" t="s">
        <v>621</v>
      </c>
      <c r="CA49" s="245" t="s">
        <v>621</v>
      </c>
      <c r="CB49" s="262">
        <v>0</v>
      </c>
      <c r="CC49" s="245" t="s">
        <v>621</v>
      </c>
      <c r="CD49" s="497" t="s">
        <v>621</v>
      </c>
      <c r="CE49" s="245" t="s">
        <v>621</v>
      </c>
      <c r="CF49" s="245">
        <v>0</v>
      </c>
      <c r="CG49" s="245" t="s">
        <v>621</v>
      </c>
      <c r="CH49" s="245" t="s">
        <v>621</v>
      </c>
      <c r="CI49" s="245">
        <v>0</v>
      </c>
      <c r="CJ49" s="245" t="s">
        <v>621</v>
      </c>
      <c r="CK49" s="509" t="s">
        <v>621</v>
      </c>
      <c r="CL49" s="512" t="s">
        <v>621</v>
      </c>
      <c r="CM49" s="568">
        <v>0</v>
      </c>
      <c r="CN49" s="245" t="s">
        <v>621</v>
      </c>
      <c r="CO49" s="245" t="s">
        <v>621</v>
      </c>
      <c r="CP49" s="961">
        <v>0</v>
      </c>
      <c r="CQ49" s="245" t="s">
        <v>621</v>
      </c>
      <c r="CR49" s="245" t="s">
        <v>621</v>
      </c>
      <c r="CS49" s="512" t="s">
        <v>621</v>
      </c>
      <c r="CT49" s="246">
        <f>'3 (цены без НДС)'!P47</f>
        <v>15.68</v>
      </c>
      <c r="CU49" s="245" t="s">
        <v>621</v>
      </c>
      <c r="CV49" s="245" t="s">
        <v>621</v>
      </c>
      <c r="CW49" s="257">
        <v>6.96</v>
      </c>
      <c r="CX49" s="245" t="s">
        <v>621</v>
      </c>
      <c r="CY49" s="509" t="s">
        <v>621</v>
      </c>
      <c r="CZ49" s="500" t="s">
        <v>621</v>
      </c>
    </row>
    <row r="50" spans="1:104" s="313" customFormat="1" ht="56.25" customHeight="1" x14ac:dyDescent="0.25">
      <c r="A50" s="1039" t="s">
        <v>546</v>
      </c>
      <c r="B50" s="674" t="s">
        <v>739</v>
      </c>
      <c r="C50" s="675" t="s">
        <v>621</v>
      </c>
      <c r="D50" s="676">
        <v>111.87</v>
      </c>
      <c r="E50" s="1040">
        <f>'3 (цены без НДС)'!AN48</f>
        <v>111.88</v>
      </c>
      <c r="F50" s="678" t="str">
        <f t="shared" ref="F50:S51" si="19">F51</f>
        <v>нд</v>
      </c>
      <c r="G50" s="676" t="str">
        <f t="shared" si="19"/>
        <v>нд</v>
      </c>
      <c r="H50" s="676" t="str">
        <f t="shared" si="19"/>
        <v>нд</v>
      </c>
      <c r="I50" s="676" t="str">
        <f t="shared" si="19"/>
        <v>нд</v>
      </c>
      <c r="J50" s="676" t="str">
        <f t="shared" si="19"/>
        <v>нд</v>
      </c>
      <c r="K50" s="676" t="str">
        <f t="shared" si="19"/>
        <v>нд</v>
      </c>
      <c r="L50" s="676" t="str">
        <f t="shared" si="19"/>
        <v>нд</v>
      </c>
      <c r="M50" s="676" t="str">
        <f t="shared" si="19"/>
        <v>нд</v>
      </c>
      <c r="N50" s="676" t="str">
        <f t="shared" si="19"/>
        <v>нд</v>
      </c>
      <c r="O50" s="676" t="str">
        <f t="shared" si="19"/>
        <v>нд</v>
      </c>
      <c r="P50" s="676" t="str">
        <f t="shared" si="19"/>
        <v>нд</v>
      </c>
      <c r="Q50" s="676" t="str">
        <f t="shared" si="19"/>
        <v>нд</v>
      </c>
      <c r="R50" s="676" t="str">
        <f t="shared" si="19"/>
        <v>нд</v>
      </c>
      <c r="S50" s="1002" t="str">
        <f t="shared" si="19"/>
        <v>нд</v>
      </c>
      <c r="T50" s="678" t="s">
        <v>621</v>
      </c>
      <c r="U50" s="676" t="str">
        <f t="shared" ref="U50:AD51" si="20">U51</f>
        <v>нд</v>
      </c>
      <c r="V50" s="676" t="str">
        <f t="shared" si="20"/>
        <v>нд</v>
      </c>
      <c r="W50" s="676" t="str">
        <f t="shared" si="20"/>
        <v>нд</v>
      </c>
      <c r="X50" s="676" t="s">
        <v>621</v>
      </c>
      <c r="Y50" s="676" t="str">
        <f t="shared" si="20"/>
        <v>нд</v>
      </c>
      <c r="Z50" s="676" t="str">
        <f t="shared" si="20"/>
        <v>нд</v>
      </c>
      <c r="AA50" s="676" t="str">
        <f t="shared" si="20"/>
        <v>нд</v>
      </c>
      <c r="AB50" s="676" t="str">
        <f t="shared" si="20"/>
        <v>нд</v>
      </c>
      <c r="AC50" s="676" t="str">
        <f t="shared" si="20"/>
        <v>нд</v>
      </c>
      <c r="AD50" s="676" t="str">
        <f t="shared" si="20"/>
        <v>нд</v>
      </c>
      <c r="AE50" s="676" t="str">
        <f t="shared" ref="AE50:AM51" si="21">AE51</f>
        <v>нд</v>
      </c>
      <c r="AF50" s="676" t="str">
        <f t="shared" si="21"/>
        <v>нд</v>
      </c>
      <c r="AG50" s="1002" t="str">
        <f t="shared" si="21"/>
        <v>нд</v>
      </c>
      <c r="AH50" s="680" t="str">
        <f t="shared" si="21"/>
        <v>нд</v>
      </c>
      <c r="AI50" s="676">
        <v>26.88</v>
      </c>
      <c r="AJ50" s="676" t="str">
        <f t="shared" si="21"/>
        <v>нд</v>
      </c>
      <c r="AK50" s="676" t="str">
        <f t="shared" si="21"/>
        <v>нд</v>
      </c>
      <c r="AL50" s="676" t="str">
        <f t="shared" si="21"/>
        <v>нд</v>
      </c>
      <c r="AM50" s="676" t="str">
        <f t="shared" si="21"/>
        <v>нд</v>
      </c>
      <c r="AN50" s="677">
        <v>2762</v>
      </c>
      <c r="AO50" s="676" t="str">
        <f t="shared" ref="AO50:AQ51" si="22">AO51</f>
        <v>нд</v>
      </c>
      <c r="AP50" s="676">
        <v>26.88</v>
      </c>
      <c r="AQ50" s="676" t="str">
        <f t="shared" si="22"/>
        <v>нд</v>
      </c>
      <c r="AR50" s="676" t="str">
        <f t="shared" ref="AR50:BG51" si="23">AR51</f>
        <v>нд</v>
      </c>
      <c r="AS50" s="676" t="str">
        <f t="shared" si="23"/>
        <v>нд</v>
      </c>
      <c r="AT50" s="676" t="str">
        <f t="shared" si="23"/>
        <v>нд</v>
      </c>
      <c r="AU50" s="679">
        <f t="shared" si="23"/>
        <v>2762</v>
      </c>
      <c r="AV50" s="678" t="s">
        <v>621</v>
      </c>
      <c r="AW50" s="676">
        <v>27.29</v>
      </c>
      <c r="AX50" s="676" t="s">
        <v>621</v>
      </c>
      <c r="AY50" s="676" t="s">
        <v>621</v>
      </c>
      <c r="AZ50" s="676" t="s">
        <v>621</v>
      </c>
      <c r="BA50" s="676" t="s">
        <v>621</v>
      </c>
      <c r="BB50" s="679">
        <v>2658</v>
      </c>
      <c r="BC50" s="676" t="str">
        <f t="shared" si="23"/>
        <v>нд</v>
      </c>
      <c r="BD50" s="676">
        <f t="shared" si="23"/>
        <v>27.29</v>
      </c>
      <c r="BE50" s="676" t="str">
        <f t="shared" si="23"/>
        <v>нд</v>
      </c>
      <c r="BF50" s="676" t="str">
        <f t="shared" si="23"/>
        <v>нд</v>
      </c>
      <c r="BG50" s="676" t="str">
        <f t="shared" si="23"/>
        <v>нд</v>
      </c>
      <c r="BH50" s="676" t="str">
        <f>BH51</f>
        <v>нд</v>
      </c>
      <c r="BI50" s="928">
        <f>BI51</f>
        <v>2658</v>
      </c>
      <c r="BJ50" s="678" t="s">
        <v>621</v>
      </c>
      <c r="BK50" s="680">
        <v>29.88</v>
      </c>
      <c r="BL50" s="676" t="s">
        <v>621</v>
      </c>
      <c r="BM50" s="676" t="s">
        <v>621</v>
      </c>
      <c r="BN50" s="676" t="s">
        <v>621</v>
      </c>
      <c r="BO50" s="676" t="s">
        <v>621</v>
      </c>
      <c r="BP50" s="677">
        <v>2941</v>
      </c>
      <c r="BQ50" s="676" t="str">
        <f t="shared" ref="BQ50:BU51" si="24">BQ51</f>
        <v>нд</v>
      </c>
      <c r="BR50" s="676">
        <f t="shared" si="24"/>
        <v>29.88</v>
      </c>
      <c r="BS50" s="676" t="str">
        <f t="shared" si="24"/>
        <v>нд</v>
      </c>
      <c r="BT50" s="676" t="str">
        <f t="shared" si="24"/>
        <v>нд</v>
      </c>
      <c r="BU50" s="676" t="str">
        <f t="shared" si="24"/>
        <v>нд</v>
      </c>
      <c r="BV50" s="676" t="str">
        <f>BV51</f>
        <v>нд</v>
      </c>
      <c r="BW50" s="1023">
        <f>BW51</f>
        <v>2941</v>
      </c>
      <c r="BX50" s="678" t="s">
        <v>621</v>
      </c>
      <c r="BY50" s="680">
        <v>27.82</v>
      </c>
      <c r="BZ50" s="676" t="s">
        <v>621</v>
      </c>
      <c r="CA50" s="676" t="s">
        <v>621</v>
      </c>
      <c r="CB50" s="676" t="s">
        <v>621</v>
      </c>
      <c r="CC50" s="676" t="s">
        <v>621</v>
      </c>
      <c r="CD50" s="928">
        <v>2824</v>
      </c>
      <c r="CE50" s="676" t="str">
        <f t="shared" ref="CE50:CI51" si="25">CE51</f>
        <v>нд</v>
      </c>
      <c r="CF50" s="676">
        <f t="shared" si="25"/>
        <v>27.82</v>
      </c>
      <c r="CG50" s="676" t="str">
        <f t="shared" si="25"/>
        <v>нд</v>
      </c>
      <c r="CH50" s="676" t="str">
        <f t="shared" si="25"/>
        <v>нд</v>
      </c>
      <c r="CI50" s="676" t="str">
        <f t="shared" si="25"/>
        <v>нд</v>
      </c>
      <c r="CJ50" s="676" t="str">
        <f>CJ51</f>
        <v>нд</v>
      </c>
      <c r="CK50" s="1023">
        <f>CK51</f>
        <v>2824</v>
      </c>
      <c r="CL50" s="678" t="s">
        <v>621</v>
      </c>
      <c r="CM50" s="680">
        <v>111.87</v>
      </c>
      <c r="CN50" s="681" t="s">
        <v>621</v>
      </c>
      <c r="CO50" s="681" t="s">
        <v>621</v>
      </c>
      <c r="CP50" s="682" t="s">
        <v>621</v>
      </c>
      <c r="CQ50" s="681" t="s">
        <v>621</v>
      </c>
      <c r="CR50" s="681">
        <v>11185</v>
      </c>
      <c r="CS50" s="678" t="str">
        <f>CS51</f>
        <v>нд</v>
      </c>
      <c r="CT50" s="246">
        <f>E50</f>
        <v>111.88</v>
      </c>
      <c r="CU50" s="681" t="s">
        <v>621</v>
      </c>
      <c r="CV50" s="681" t="s">
        <v>621</v>
      </c>
      <c r="CW50" s="682" t="s">
        <v>621</v>
      </c>
      <c r="CX50" s="681" t="s">
        <v>621</v>
      </c>
      <c r="CY50" s="683">
        <f>CY51</f>
        <v>11185</v>
      </c>
      <c r="CZ50" s="500" t="s">
        <v>621</v>
      </c>
    </row>
    <row r="51" spans="1:104" s="313" customFormat="1" ht="42.75" customHeight="1" x14ac:dyDescent="0.25">
      <c r="A51" s="1035" t="s">
        <v>599</v>
      </c>
      <c r="B51" s="154" t="s">
        <v>740</v>
      </c>
      <c r="C51" s="972" t="s">
        <v>621</v>
      </c>
      <c r="D51" s="246">
        <v>111.87</v>
      </c>
      <c r="E51" s="1003">
        <f>'3 (цены без НДС)'!AN49</f>
        <v>111.88</v>
      </c>
      <c r="F51" s="508" t="str">
        <f t="shared" si="19"/>
        <v>нд</v>
      </c>
      <c r="G51" s="246" t="str">
        <f t="shared" si="19"/>
        <v>нд</v>
      </c>
      <c r="H51" s="246" t="str">
        <f t="shared" si="19"/>
        <v>нд</v>
      </c>
      <c r="I51" s="246" t="str">
        <f t="shared" si="19"/>
        <v>нд</v>
      </c>
      <c r="J51" s="246" t="str">
        <f t="shared" si="19"/>
        <v>нд</v>
      </c>
      <c r="K51" s="246" t="str">
        <f t="shared" si="19"/>
        <v>нд</v>
      </c>
      <c r="L51" s="246" t="str">
        <f t="shared" si="19"/>
        <v>нд</v>
      </c>
      <c r="M51" s="246" t="str">
        <f t="shared" si="19"/>
        <v>нд</v>
      </c>
      <c r="N51" s="246" t="str">
        <f t="shared" si="19"/>
        <v>нд</v>
      </c>
      <c r="O51" s="246" t="str">
        <f t="shared" si="19"/>
        <v>нд</v>
      </c>
      <c r="P51" s="246" t="str">
        <f t="shared" si="19"/>
        <v>нд</v>
      </c>
      <c r="Q51" s="246" t="str">
        <f t="shared" si="19"/>
        <v>нд</v>
      </c>
      <c r="R51" s="246" t="str">
        <f t="shared" si="19"/>
        <v>нд</v>
      </c>
      <c r="S51" s="1003" t="str">
        <f t="shared" si="19"/>
        <v>нд</v>
      </c>
      <c r="T51" s="508" t="s">
        <v>621</v>
      </c>
      <c r="U51" s="246" t="str">
        <f t="shared" si="20"/>
        <v>нд</v>
      </c>
      <c r="V51" s="246" t="str">
        <f t="shared" si="20"/>
        <v>нд</v>
      </c>
      <c r="W51" s="246" t="str">
        <f t="shared" si="20"/>
        <v>нд</v>
      </c>
      <c r="X51" s="246" t="s">
        <v>621</v>
      </c>
      <c r="Y51" s="246" t="str">
        <f t="shared" si="20"/>
        <v>нд</v>
      </c>
      <c r="Z51" s="246" t="str">
        <f t="shared" si="20"/>
        <v>нд</v>
      </c>
      <c r="AA51" s="246" t="str">
        <f t="shared" si="20"/>
        <v>нд</v>
      </c>
      <c r="AB51" s="246" t="str">
        <f t="shared" si="20"/>
        <v>нд</v>
      </c>
      <c r="AC51" s="246" t="str">
        <f t="shared" si="20"/>
        <v>нд</v>
      </c>
      <c r="AD51" s="246" t="str">
        <f t="shared" si="20"/>
        <v>нд</v>
      </c>
      <c r="AE51" s="246" t="str">
        <f t="shared" si="21"/>
        <v>нд</v>
      </c>
      <c r="AF51" s="246" t="str">
        <f t="shared" si="21"/>
        <v>нд</v>
      </c>
      <c r="AG51" s="1003" t="str">
        <f t="shared" si="21"/>
        <v>нд</v>
      </c>
      <c r="AH51" s="568" t="str">
        <f t="shared" si="21"/>
        <v>нд</v>
      </c>
      <c r="AI51" s="246">
        <v>26.88</v>
      </c>
      <c r="AJ51" s="246" t="str">
        <f t="shared" si="21"/>
        <v>нд</v>
      </c>
      <c r="AK51" s="246" t="str">
        <f t="shared" si="21"/>
        <v>нд</v>
      </c>
      <c r="AL51" s="246" t="str">
        <f t="shared" si="21"/>
        <v>нд</v>
      </c>
      <c r="AM51" s="246" t="str">
        <f t="shared" si="21"/>
        <v>нд</v>
      </c>
      <c r="AN51" s="566">
        <v>2762</v>
      </c>
      <c r="AO51" s="246" t="str">
        <f t="shared" si="22"/>
        <v>нд</v>
      </c>
      <c r="AP51" s="246">
        <v>26.88</v>
      </c>
      <c r="AQ51" s="246" t="str">
        <f t="shared" si="22"/>
        <v>нд</v>
      </c>
      <c r="AR51" s="246" t="str">
        <f t="shared" si="23"/>
        <v>нд</v>
      </c>
      <c r="AS51" s="246" t="str">
        <f t="shared" si="23"/>
        <v>нд</v>
      </c>
      <c r="AT51" s="246" t="str">
        <f t="shared" si="23"/>
        <v>нд</v>
      </c>
      <c r="AU51" s="560">
        <f t="shared" si="23"/>
        <v>2762</v>
      </c>
      <c r="AV51" s="508" t="s">
        <v>621</v>
      </c>
      <c r="AW51" s="246">
        <v>27.29</v>
      </c>
      <c r="AX51" s="246" t="s">
        <v>621</v>
      </c>
      <c r="AY51" s="246" t="s">
        <v>621</v>
      </c>
      <c r="AZ51" s="246" t="s">
        <v>621</v>
      </c>
      <c r="BA51" s="246" t="s">
        <v>621</v>
      </c>
      <c r="BB51" s="560">
        <v>2658</v>
      </c>
      <c r="BC51" s="246" t="str">
        <f t="shared" si="23"/>
        <v>нд</v>
      </c>
      <c r="BD51" s="246">
        <f t="shared" si="23"/>
        <v>27.29</v>
      </c>
      <c r="BE51" s="246" t="str">
        <f t="shared" si="23"/>
        <v>нд</v>
      </c>
      <c r="BF51" s="246" t="str">
        <f t="shared" si="23"/>
        <v>нд</v>
      </c>
      <c r="BG51" s="246" t="str">
        <f t="shared" si="23"/>
        <v>нд</v>
      </c>
      <c r="BH51" s="246" t="str">
        <f>BH52</f>
        <v>нд</v>
      </c>
      <c r="BI51" s="929">
        <f>BI52</f>
        <v>2658</v>
      </c>
      <c r="BJ51" s="508" t="s">
        <v>621</v>
      </c>
      <c r="BK51" s="568">
        <v>29.88</v>
      </c>
      <c r="BL51" s="246" t="s">
        <v>621</v>
      </c>
      <c r="BM51" s="246" t="s">
        <v>621</v>
      </c>
      <c r="BN51" s="246" t="s">
        <v>621</v>
      </c>
      <c r="BO51" s="246" t="s">
        <v>621</v>
      </c>
      <c r="BP51" s="566">
        <v>2941</v>
      </c>
      <c r="BQ51" s="246" t="str">
        <f t="shared" si="24"/>
        <v>нд</v>
      </c>
      <c r="BR51" s="246">
        <f t="shared" si="24"/>
        <v>29.88</v>
      </c>
      <c r="BS51" s="246" t="str">
        <f t="shared" si="24"/>
        <v>нд</v>
      </c>
      <c r="BT51" s="246" t="str">
        <f t="shared" si="24"/>
        <v>нд</v>
      </c>
      <c r="BU51" s="246" t="str">
        <f t="shared" si="24"/>
        <v>нд</v>
      </c>
      <c r="BV51" s="246" t="str">
        <f>BV52</f>
        <v>нд</v>
      </c>
      <c r="BW51" s="1024">
        <f>BW52</f>
        <v>2941</v>
      </c>
      <c r="BX51" s="508" t="s">
        <v>621</v>
      </c>
      <c r="BY51" s="568">
        <v>27.82</v>
      </c>
      <c r="BZ51" s="246" t="s">
        <v>621</v>
      </c>
      <c r="CA51" s="246" t="s">
        <v>621</v>
      </c>
      <c r="CB51" s="246" t="s">
        <v>621</v>
      </c>
      <c r="CC51" s="246" t="s">
        <v>621</v>
      </c>
      <c r="CD51" s="929">
        <v>2824</v>
      </c>
      <c r="CE51" s="246" t="str">
        <f t="shared" si="25"/>
        <v>нд</v>
      </c>
      <c r="CF51" s="246">
        <f t="shared" si="25"/>
        <v>27.82</v>
      </c>
      <c r="CG51" s="246" t="str">
        <f t="shared" si="25"/>
        <v>нд</v>
      </c>
      <c r="CH51" s="246" t="str">
        <f t="shared" si="25"/>
        <v>нд</v>
      </c>
      <c r="CI51" s="246" t="str">
        <f t="shared" si="25"/>
        <v>нд</v>
      </c>
      <c r="CJ51" s="246" t="str">
        <f>CJ52</f>
        <v>нд</v>
      </c>
      <c r="CK51" s="1024">
        <f>CK52</f>
        <v>2824</v>
      </c>
      <c r="CL51" s="508" t="s">
        <v>621</v>
      </c>
      <c r="CM51" s="568">
        <v>111.87</v>
      </c>
      <c r="CN51" s="245" t="s">
        <v>621</v>
      </c>
      <c r="CO51" s="245" t="s">
        <v>621</v>
      </c>
      <c r="CP51" s="262" t="s">
        <v>621</v>
      </c>
      <c r="CQ51" s="245" t="s">
        <v>621</v>
      </c>
      <c r="CR51" s="245">
        <v>11185</v>
      </c>
      <c r="CS51" s="508" t="str">
        <f>CS52</f>
        <v>нд</v>
      </c>
      <c r="CT51" s="246">
        <f>E51</f>
        <v>111.88</v>
      </c>
      <c r="CU51" s="245" t="s">
        <v>621</v>
      </c>
      <c r="CV51" s="245" t="s">
        <v>621</v>
      </c>
      <c r="CW51" s="262" t="s">
        <v>621</v>
      </c>
      <c r="CX51" s="245" t="s">
        <v>621</v>
      </c>
      <c r="CY51" s="509">
        <f>CY52</f>
        <v>11185</v>
      </c>
      <c r="CZ51" s="500" t="s">
        <v>621</v>
      </c>
    </row>
    <row r="52" spans="1:104" s="313" customFormat="1" ht="45.75" customHeight="1" x14ac:dyDescent="0.25">
      <c r="A52" s="1041" t="s">
        <v>947</v>
      </c>
      <c r="B52" s="572" t="s">
        <v>948</v>
      </c>
      <c r="C52" s="972" t="s">
        <v>1056</v>
      </c>
      <c r="D52" s="246">
        <v>111.87</v>
      </c>
      <c r="E52" s="1003">
        <f>'3 (цены без НДС)'!AN50</f>
        <v>111.88</v>
      </c>
      <c r="F52" s="512" t="s">
        <v>621</v>
      </c>
      <c r="G52" s="245" t="s">
        <v>621</v>
      </c>
      <c r="H52" s="245" t="s">
        <v>621</v>
      </c>
      <c r="I52" s="245" t="s">
        <v>621</v>
      </c>
      <c r="J52" s="245" t="s">
        <v>621</v>
      </c>
      <c r="K52" s="245" t="s">
        <v>621</v>
      </c>
      <c r="L52" s="245" t="s">
        <v>621</v>
      </c>
      <c r="M52" s="245" t="s">
        <v>621</v>
      </c>
      <c r="N52" s="245" t="s">
        <v>621</v>
      </c>
      <c r="O52" s="245" t="s">
        <v>621</v>
      </c>
      <c r="P52" s="245" t="s">
        <v>621</v>
      </c>
      <c r="Q52" s="245" t="s">
        <v>621</v>
      </c>
      <c r="R52" s="245" t="s">
        <v>621</v>
      </c>
      <c r="S52" s="509" t="s">
        <v>621</v>
      </c>
      <c r="T52" s="512" t="s">
        <v>621</v>
      </c>
      <c r="U52" s="245" t="s">
        <v>621</v>
      </c>
      <c r="V52" s="245" t="s">
        <v>621</v>
      </c>
      <c r="W52" s="245" t="s">
        <v>621</v>
      </c>
      <c r="X52" s="245" t="s">
        <v>621</v>
      </c>
      <c r="Y52" s="245" t="s">
        <v>621</v>
      </c>
      <c r="Z52" s="245" t="s">
        <v>621</v>
      </c>
      <c r="AA52" s="245" t="s">
        <v>621</v>
      </c>
      <c r="AB52" s="245" t="s">
        <v>621</v>
      </c>
      <c r="AC52" s="245" t="s">
        <v>621</v>
      </c>
      <c r="AD52" s="245" t="s">
        <v>621</v>
      </c>
      <c r="AE52" s="245" t="s">
        <v>621</v>
      </c>
      <c r="AF52" s="245" t="s">
        <v>621</v>
      </c>
      <c r="AG52" s="509" t="s">
        <v>621</v>
      </c>
      <c r="AH52" s="500" t="s">
        <v>621</v>
      </c>
      <c r="AI52" s="245">
        <v>26.88</v>
      </c>
      <c r="AJ52" s="245" t="s">
        <v>621</v>
      </c>
      <c r="AK52" s="245" t="s">
        <v>621</v>
      </c>
      <c r="AL52" s="245" t="s">
        <v>621</v>
      </c>
      <c r="AM52" s="245" t="s">
        <v>621</v>
      </c>
      <c r="AN52" s="245">
        <v>2762</v>
      </c>
      <c r="AO52" s="245" t="s">
        <v>621</v>
      </c>
      <c r="AP52" s="246">
        <v>26.88</v>
      </c>
      <c r="AQ52" s="245" t="s">
        <v>621</v>
      </c>
      <c r="AR52" s="245" t="s">
        <v>621</v>
      </c>
      <c r="AS52" s="245" t="s">
        <v>621</v>
      </c>
      <c r="AT52" s="245" t="s">
        <v>621</v>
      </c>
      <c r="AU52" s="627">
        <v>2762</v>
      </c>
      <c r="AV52" s="512" t="s">
        <v>621</v>
      </c>
      <c r="AW52" s="245">
        <v>27.29</v>
      </c>
      <c r="AX52" s="245" t="s">
        <v>621</v>
      </c>
      <c r="AY52" s="245" t="s">
        <v>621</v>
      </c>
      <c r="AZ52" s="245" t="s">
        <v>621</v>
      </c>
      <c r="BA52" s="245" t="s">
        <v>621</v>
      </c>
      <c r="BB52" s="245">
        <v>2658</v>
      </c>
      <c r="BC52" s="245" t="s">
        <v>621</v>
      </c>
      <c r="BD52" s="246">
        <f>'3 (цены без НДС)'!AH50</f>
        <v>27.29</v>
      </c>
      <c r="BE52" s="245" t="s">
        <v>621</v>
      </c>
      <c r="BF52" s="245" t="s">
        <v>621</v>
      </c>
      <c r="BG52" s="245" t="s">
        <v>621</v>
      </c>
      <c r="BH52" s="245" t="s">
        <v>621</v>
      </c>
      <c r="BI52" s="497">
        <v>2658</v>
      </c>
      <c r="BJ52" s="512" t="s">
        <v>621</v>
      </c>
      <c r="BK52" s="500">
        <v>29.88</v>
      </c>
      <c r="BL52" s="245" t="s">
        <v>621</v>
      </c>
      <c r="BM52" s="245" t="s">
        <v>621</v>
      </c>
      <c r="BN52" s="245" t="s">
        <v>621</v>
      </c>
      <c r="BO52" s="245" t="s">
        <v>621</v>
      </c>
      <c r="BP52" s="566">
        <v>2941</v>
      </c>
      <c r="BQ52" s="245" t="s">
        <v>621</v>
      </c>
      <c r="BR52" s="246">
        <f>'3 (цены без НДС)'!AJ50</f>
        <v>29.88</v>
      </c>
      <c r="BS52" s="245" t="s">
        <v>621</v>
      </c>
      <c r="BT52" s="245" t="s">
        <v>621</v>
      </c>
      <c r="BU52" s="245" t="s">
        <v>621</v>
      </c>
      <c r="BV52" s="245" t="s">
        <v>621</v>
      </c>
      <c r="BW52" s="509">
        <v>2941</v>
      </c>
      <c r="BX52" s="512" t="s">
        <v>621</v>
      </c>
      <c r="BY52" s="500">
        <v>27.82</v>
      </c>
      <c r="BZ52" s="245" t="s">
        <v>621</v>
      </c>
      <c r="CA52" s="245" t="s">
        <v>621</v>
      </c>
      <c r="CB52" s="245" t="s">
        <v>621</v>
      </c>
      <c r="CC52" s="245" t="s">
        <v>621</v>
      </c>
      <c r="CD52" s="497">
        <v>2824</v>
      </c>
      <c r="CE52" s="245" t="s">
        <v>621</v>
      </c>
      <c r="CF52" s="246">
        <f>'3 (цены без НДС)'!AL50</f>
        <v>27.82</v>
      </c>
      <c r="CG52" s="245" t="s">
        <v>621</v>
      </c>
      <c r="CH52" s="245" t="s">
        <v>621</v>
      </c>
      <c r="CI52" s="245" t="s">
        <v>621</v>
      </c>
      <c r="CJ52" s="245" t="s">
        <v>621</v>
      </c>
      <c r="CK52" s="509">
        <v>2824</v>
      </c>
      <c r="CL52" s="512" t="s">
        <v>621</v>
      </c>
      <c r="CM52" s="568">
        <v>111.87</v>
      </c>
      <c r="CN52" s="245" t="s">
        <v>621</v>
      </c>
      <c r="CO52" s="245" t="s">
        <v>621</v>
      </c>
      <c r="CP52" s="262" t="s">
        <v>621</v>
      </c>
      <c r="CQ52" s="245" t="s">
        <v>621</v>
      </c>
      <c r="CR52" s="245">
        <v>11185</v>
      </c>
      <c r="CS52" s="512" t="s">
        <v>621</v>
      </c>
      <c r="CT52" s="246">
        <f>E52</f>
        <v>111.88</v>
      </c>
      <c r="CU52" s="245" t="s">
        <v>621</v>
      </c>
      <c r="CV52" s="245" t="s">
        <v>621</v>
      </c>
      <c r="CW52" s="262" t="s">
        <v>621</v>
      </c>
      <c r="CX52" s="245" t="s">
        <v>621</v>
      </c>
      <c r="CY52" s="509">
        <f>CK52+BW52+BI52+AU52</f>
        <v>11185</v>
      </c>
      <c r="CZ52" s="500" t="s">
        <v>621</v>
      </c>
    </row>
    <row r="53" spans="1:104" ht="60.75" x14ac:dyDescent="0.3">
      <c r="A53" s="1039" t="s">
        <v>547</v>
      </c>
      <c r="B53" s="1016" t="s">
        <v>705</v>
      </c>
      <c r="C53" s="675" t="s">
        <v>621</v>
      </c>
      <c r="D53" s="676">
        <v>141.09</v>
      </c>
      <c r="E53" s="1040">
        <f>'3 (цены без НДС)'!AN51</f>
        <v>133.31</v>
      </c>
      <c r="F53" s="1030" t="s">
        <v>621</v>
      </c>
      <c r="G53" s="681" t="s">
        <v>621</v>
      </c>
      <c r="H53" s="681" t="s">
        <v>621</v>
      </c>
      <c r="I53" s="681" t="s">
        <v>621</v>
      </c>
      <c r="J53" s="681" t="s">
        <v>621</v>
      </c>
      <c r="K53" s="681" t="s">
        <v>621</v>
      </c>
      <c r="L53" s="681" t="s">
        <v>621</v>
      </c>
      <c r="M53" s="681" t="s">
        <v>621</v>
      </c>
      <c r="N53" s="681" t="s">
        <v>621</v>
      </c>
      <c r="O53" s="681" t="s">
        <v>621</v>
      </c>
      <c r="P53" s="681" t="s">
        <v>621</v>
      </c>
      <c r="Q53" s="681" t="s">
        <v>621</v>
      </c>
      <c r="R53" s="681" t="s">
        <v>621</v>
      </c>
      <c r="S53" s="683" t="s">
        <v>621</v>
      </c>
      <c r="T53" s="678" t="s">
        <v>621</v>
      </c>
      <c r="U53" s="676">
        <f>U54</f>
        <v>34.770000000000003</v>
      </c>
      <c r="V53" s="681">
        <f>V54</f>
        <v>1.6</v>
      </c>
      <c r="W53" s="681" t="s">
        <v>621</v>
      </c>
      <c r="X53" s="1018" t="s">
        <v>621</v>
      </c>
      <c r="Y53" s="681" t="s">
        <v>621</v>
      </c>
      <c r="Z53" s="681">
        <f>Z54</f>
        <v>28</v>
      </c>
      <c r="AA53" s="681" t="s">
        <v>621</v>
      </c>
      <c r="AB53" s="676">
        <f>AB54</f>
        <v>34.770000000000003</v>
      </c>
      <c r="AC53" s="681">
        <f>AC54</f>
        <v>1.6</v>
      </c>
      <c r="AD53" s="681" t="s">
        <v>621</v>
      </c>
      <c r="AE53" s="681" t="s">
        <v>621</v>
      </c>
      <c r="AF53" s="681" t="s">
        <v>621</v>
      </c>
      <c r="AG53" s="683">
        <f>AG54</f>
        <v>28</v>
      </c>
      <c r="AH53" s="680" t="s">
        <v>621</v>
      </c>
      <c r="AI53" s="676">
        <v>16.3</v>
      </c>
      <c r="AJ53" s="681">
        <f>AJ54</f>
        <v>0.8</v>
      </c>
      <c r="AK53" s="681" t="s">
        <v>621</v>
      </c>
      <c r="AL53" s="681" t="s">
        <v>621</v>
      </c>
      <c r="AM53" s="681" t="s">
        <v>621</v>
      </c>
      <c r="AN53" s="681">
        <v>15</v>
      </c>
      <c r="AO53" s="681" t="str">
        <f>AH53</f>
        <v>нд</v>
      </c>
      <c r="AP53" s="676">
        <f>AP54</f>
        <v>12.07</v>
      </c>
      <c r="AQ53" s="681">
        <f>AQ54</f>
        <v>0</v>
      </c>
      <c r="AR53" s="681" t="s">
        <v>621</v>
      </c>
      <c r="AS53" s="681" t="s">
        <v>621</v>
      </c>
      <c r="AT53" s="681" t="s">
        <v>621</v>
      </c>
      <c r="AU53" s="683">
        <f>AU54</f>
        <v>18</v>
      </c>
      <c r="AV53" s="678" t="s">
        <v>621</v>
      </c>
      <c r="AW53" s="680">
        <v>45.21</v>
      </c>
      <c r="AX53" s="681">
        <v>2.06</v>
      </c>
      <c r="AY53" s="681" t="s">
        <v>621</v>
      </c>
      <c r="AZ53" s="1018" t="s">
        <v>621</v>
      </c>
      <c r="BA53" s="681" t="s">
        <v>621</v>
      </c>
      <c r="BB53" s="681">
        <v>38</v>
      </c>
      <c r="BC53" s="681" t="str">
        <f>AV53</f>
        <v>нд</v>
      </c>
      <c r="BD53" s="681">
        <f>BD54</f>
        <v>36.549999999999997</v>
      </c>
      <c r="BE53" s="681">
        <f>BE54</f>
        <v>1.26</v>
      </c>
      <c r="BF53" s="681" t="s">
        <v>621</v>
      </c>
      <c r="BG53" s="681" t="s">
        <v>621</v>
      </c>
      <c r="BH53" s="681" t="s">
        <v>621</v>
      </c>
      <c r="BI53" s="1017">
        <f>BI54</f>
        <v>42</v>
      </c>
      <c r="BJ53" s="678" t="s">
        <v>621</v>
      </c>
      <c r="BK53" s="680">
        <v>7.49</v>
      </c>
      <c r="BL53" s="681">
        <v>6.87</v>
      </c>
      <c r="BM53" s="681" t="s">
        <v>621</v>
      </c>
      <c r="BN53" s="1018" t="s">
        <v>621</v>
      </c>
      <c r="BO53" s="681" t="s">
        <v>621</v>
      </c>
      <c r="BP53" s="681" t="s">
        <v>621</v>
      </c>
      <c r="BQ53" s="681" t="s">
        <v>621</v>
      </c>
      <c r="BR53" s="681">
        <f>BR54</f>
        <v>7.49</v>
      </c>
      <c r="BS53" s="681">
        <f>BS54</f>
        <v>6.87</v>
      </c>
      <c r="BT53" s="681" t="s">
        <v>621</v>
      </c>
      <c r="BU53" s="681" t="s">
        <v>621</v>
      </c>
      <c r="BV53" s="681" t="s">
        <v>621</v>
      </c>
      <c r="BW53" s="683" t="s">
        <v>621</v>
      </c>
      <c r="BX53" s="678" t="s">
        <v>621</v>
      </c>
      <c r="BY53" s="680">
        <v>37.33</v>
      </c>
      <c r="BZ53" s="681" t="s">
        <v>621</v>
      </c>
      <c r="CA53" s="681" t="s">
        <v>621</v>
      </c>
      <c r="CB53" s="682" t="s">
        <v>621</v>
      </c>
      <c r="CC53" s="681" t="s">
        <v>621</v>
      </c>
      <c r="CD53" s="1017">
        <v>36</v>
      </c>
      <c r="CE53" s="676" t="s">
        <v>621</v>
      </c>
      <c r="CF53" s="681">
        <f>CF54</f>
        <v>37.33</v>
      </c>
      <c r="CG53" s="681" t="s">
        <v>621</v>
      </c>
      <c r="CH53" s="681" t="s">
        <v>621</v>
      </c>
      <c r="CI53" s="681" t="s">
        <v>621</v>
      </c>
      <c r="CJ53" s="681" t="s">
        <v>621</v>
      </c>
      <c r="CK53" s="683">
        <f>CK54</f>
        <v>36</v>
      </c>
      <c r="CL53" s="678" t="s">
        <v>621</v>
      </c>
      <c r="CM53" s="680">
        <v>141.09</v>
      </c>
      <c r="CN53" s="681">
        <v>11.33</v>
      </c>
      <c r="CO53" s="681" t="s">
        <v>621</v>
      </c>
      <c r="CP53" s="682" t="s">
        <v>621</v>
      </c>
      <c r="CQ53" s="681" t="s">
        <v>621</v>
      </c>
      <c r="CR53" s="681">
        <v>117</v>
      </c>
      <c r="CS53" s="678" t="s">
        <v>621</v>
      </c>
      <c r="CT53" s="676">
        <f>E53</f>
        <v>133.31</v>
      </c>
      <c r="CU53" s="681">
        <f>CU54</f>
        <v>9.73</v>
      </c>
      <c r="CV53" s="681" t="s">
        <v>621</v>
      </c>
      <c r="CW53" s="681" t="s">
        <v>621</v>
      </c>
      <c r="CX53" s="681" t="s">
        <v>621</v>
      </c>
      <c r="CY53" s="683">
        <f>CY54</f>
        <v>123</v>
      </c>
      <c r="CZ53" s="1019" t="s">
        <v>621</v>
      </c>
    </row>
    <row r="54" spans="1:104" ht="50.25" customHeight="1" x14ac:dyDescent="0.3">
      <c r="A54" s="1039" t="s">
        <v>604</v>
      </c>
      <c r="B54" s="1016" t="s">
        <v>707</v>
      </c>
      <c r="C54" s="675" t="s">
        <v>621</v>
      </c>
      <c r="D54" s="676">
        <v>141.09</v>
      </c>
      <c r="E54" s="1040">
        <f>'3 (цены без НДС)'!AN52</f>
        <v>133.31</v>
      </c>
      <c r="F54" s="1030" t="s">
        <v>621</v>
      </c>
      <c r="G54" s="681" t="s">
        <v>621</v>
      </c>
      <c r="H54" s="681" t="s">
        <v>621</v>
      </c>
      <c r="I54" s="681" t="s">
        <v>621</v>
      </c>
      <c r="J54" s="681" t="s">
        <v>621</v>
      </c>
      <c r="K54" s="681" t="s">
        <v>621</v>
      </c>
      <c r="L54" s="681" t="s">
        <v>621</v>
      </c>
      <c r="M54" s="681" t="s">
        <v>621</v>
      </c>
      <c r="N54" s="681" t="s">
        <v>621</v>
      </c>
      <c r="O54" s="681" t="s">
        <v>621</v>
      </c>
      <c r="P54" s="681" t="s">
        <v>621</v>
      </c>
      <c r="Q54" s="681" t="s">
        <v>621</v>
      </c>
      <c r="R54" s="681" t="s">
        <v>621</v>
      </c>
      <c r="S54" s="683" t="s">
        <v>621</v>
      </c>
      <c r="T54" s="678" t="s">
        <v>621</v>
      </c>
      <c r="U54" s="676">
        <f>SUM(U55:U71)</f>
        <v>34.770000000000003</v>
      </c>
      <c r="V54" s="681">
        <f>V55+V56</f>
        <v>1.6</v>
      </c>
      <c r="W54" s="681" t="s">
        <v>621</v>
      </c>
      <c r="X54" s="1018" t="s">
        <v>621</v>
      </c>
      <c r="Y54" s="681" t="s">
        <v>621</v>
      </c>
      <c r="Z54" s="681">
        <f>Z57</f>
        <v>28</v>
      </c>
      <c r="AA54" s="681" t="s">
        <v>621</v>
      </c>
      <c r="AB54" s="676">
        <f>SUM(AB55:AB71)</f>
        <v>34.770000000000003</v>
      </c>
      <c r="AC54" s="681">
        <f>AC55+AC56</f>
        <v>1.6</v>
      </c>
      <c r="AD54" s="681" t="s">
        <v>621</v>
      </c>
      <c r="AE54" s="681" t="s">
        <v>621</v>
      </c>
      <c r="AF54" s="681" t="s">
        <v>621</v>
      </c>
      <c r="AG54" s="683">
        <f>AG57</f>
        <v>28</v>
      </c>
      <c r="AH54" s="1020" t="s">
        <v>621</v>
      </c>
      <c r="AI54" s="676">
        <v>16.3</v>
      </c>
      <c r="AJ54" s="681">
        <f>AJ58</f>
        <v>0.8</v>
      </c>
      <c r="AK54" s="681" t="s">
        <v>621</v>
      </c>
      <c r="AL54" s="681" t="s">
        <v>621</v>
      </c>
      <c r="AM54" s="681" t="s">
        <v>621</v>
      </c>
      <c r="AN54" s="681">
        <v>15</v>
      </c>
      <c r="AO54" s="681" t="str">
        <f>AH54</f>
        <v>нд</v>
      </c>
      <c r="AP54" s="676">
        <f>AP59</f>
        <v>12.07</v>
      </c>
      <c r="AQ54" s="681">
        <v>0</v>
      </c>
      <c r="AR54" s="681" t="s">
        <v>621</v>
      </c>
      <c r="AS54" s="681" t="s">
        <v>621</v>
      </c>
      <c r="AT54" s="681" t="s">
        <v>621</v>
      </c>
      <c r="AU54" s="683">
        <f>AU59</f>
        <v>18</v>
      </c>
      <c r="AV54" s="678" t="s">
        <v>621</v>
      </c>
      <c r="AW54" s="680">
        <v>45.21</v>
      </c>
      <c r="AX54" s="681">
        <v>2.06</v>
      </c>
      <c r="AY54" s="681" t="s">
        <v>621</v>
      </c>
      <c r="AZ54" s="1018" t="s">
        <v>621</v>
      </c>
      <c r="BA54" s="681" t="s">
        <v>621</v>
      </c>
      <c r="BB54" s="681">
        <v>38</v>
      </c>
      <c r="BC54" s="681" t="str">
        <f>AV54</f>
        <v>нд</v>
      </c>
      <c r="BD54" s="676">
        <f>BD62+BD73+BD74</f>
        <v>36.549999999999997</v>
      </c>
      <c r="BE54" s="676">
        <f>BE74</f>
        <v>1.26</v>
      </c>
      <c r="BF54" s="681" t="s">
        <v>621</v>
      </c>
      <c r="BG54" s="681" t="s">
        <v>621</v>
      </c>
      <c r="BH54" s="681" t="s">
        <v>621</v>
      </c>
      <c r="BI54" s="1017">
        <f>BI62+BI73</f>
        <v>42</v>
      </c>
      <c r="BJ54" s="678" t="s">
        <v>621</v>
      </c>
      <c r="BK54" s="680">
        <v>7.49</v>
      </c>
      <c r="BL54" s="681">
        <v>6.87</v>
      </c>
      <c r="BM54" s="681" t="s">
        <v>621</v>
      </c>
      <c r="BN54" s="1018" t="s">
        <v>621</v>
      </c>
      <c r="BO54" s="681" t="s">
        <v>621</v>
      </c>
      <c r="BP54" s="681" t="s">
        <v>621</v>
      </c>
      <c r="BQ54" s="681" t="s">
        <v>621</v>
      </c>
      <c r="BR54" s="681">
        <f>SUM(BR63:BR69)</f>
        <v>7.49</v>
      </c>
      <c r="BS54" s="681">
        <f>SUM(BS63:BS69)</f>
        <v>6.87</v>
      </c>
      <c r="BT54" s="681" t="s">
        <v>621</v>
      </c>
      <c r="BU54" s="681" t="s">
        <v>621</v>
      </c>
      <c r="BV54" s="681" t="s">
        <v>621</v>
      </c>
      <c r="BW54" s="683" t="s">
        <v>621</v>
      </c>
      <c r="BX54" s="678" t="s">
        <v>621</v>
      </c>
      <c r="BY54" s="680">
        <v>37.33</v>
      </c>
      <c r="BZ54" s="681" t="s">
        <v>621</v>
      </c>
      <c r="CA54" s="681" t="s">
        <v>621</v>
      </c>
      <c r="CB54" s="682" t="s">
        <v>621</v>
      </c>
      <c r="CC54" s="681" t="s">
        <v>621</v>
      </c>
      <c r="CD54" s="1017">
        <v>36</v>
      </c>
      <c r="CE54" s="676" t="s">
        <v>621</v>
      </c>
      <c r="CF54" s="681">
        <f>CF70+CF71</f>
        <v>37.33</v>
      </c>
      <c r="CG54" s="681" t="s">
        <v>621</v>
      </c>
      <c r="CH54" s="681" t="s">
        <v>621</v>
      </c>
      <c r="CI54" s="681" t="s">
        <v>621</v>
      </c>
      <c r="CJ54" s="681" t="s">
        <v>621</v>
      </c>
      <c r="CK54" s="683">
        <f>CK70+CK71</f>
        <v>36</v>
      </c>
      <c r="CL54" s="678" t="s">
        <v>621</v>
      </c>
      <c r="CM54" s="680">
        <v>141.09</v>
      </c>
      <c r="CN54" s="681">
        <v>11.33</v>
      </c>
      <c r="CO54" s="681" t="s">
        <v>621</v>
      </c>
      <c r="CP54" s="682" t="s">
        <v>621</v>
      </c>
      <c r="CQ54" s="681" t="s">
        <v>621</v>
      </c>
      <c r="CR54" s="681">
        <v>117</v>
      </c>
      <c r="CS54" s="676">
        <f>SUM(CS55:CS74)</f>
        <v>0</v>
      </c>
      <c r="CT54" s="676">
        <f>CT53</f>
        <v>133.31</v>
      </c>
      <c r="CU54" s="676">
        <f>SUM(CU55:CU74)</f>
        <v>9.73</v>
      </c>
      <c r="CV54" s="681" t="s">
        <v>621</v>
      </c>
      <c r="CW54" s="676" t="s">
        <v>621</v>
      </c>
      <c r="CX54" s="676" t="s">
        <v>621</v>
      </c>
      <c r="CY54" s="677">
        <f>SUM(CY55:CY74)</f>
        <v>123</v>
      </c>
      <c r="CZ54" s="1019" t="s">
        <v>621</v>
      </c>
    </row>
    <row r="55" spans="1:104" s="311" customFormat="1" ht="30.75" x14ac:dyDescent="0.3">
      <c r="A55" s="1035" t="s">
        <v>885</v>
      </c>
      <c r="B55" s="968" t="s">
        <v>860</v>
      </c>
      <c r="C55" s="972" t="s">
        <v>1057</v>
      </c>
      <c r="D55" s="246">
        <v>7.64</v>
      </c>
      <c r="E55" s="1003">
        <f>'3 (цены без НДС)'!P53</f>
        <v>7.64</v>
      </c>
      <c r="F55" s="512" t="s">
        <v>621</v>
      </c>
      <c r="G55" s="245" t="s">
        <v>621</v>
      </c>
      <c r="H55" s="245" t="s">
        <v>621</v>
      </c>
      <c r="I55" s="245" t="s">
        <v>621</v>
      </c>
      <c r="J55" s="245" t="s">
        <v>621</v>
      </c>
      <c r="K55" s="245" t="s">
        <v>621</v>
      </c>
      <c r="L55" s="245" t="s">
        <v>621</v>
      </c>
      <c r="M55" s="245" t="s">
        <v>621</v>
      </c>
      <c r="N55" s="245" t="s">
        <v>621</v>
      </c>
      <c r="O55" s="245" t="s">
        <v>621</v>
      </c>
      <c r="P55" s="245" t="s">
        <v>621</v>
      </c>
      <c r="Q55" s="245" t="s">
        <v>621</v>
      </c>
      <c r="R55" s="245" t="s">
        <v>621</v>
      </c>
      <c r="S55" s="509" t="s">
        <v>621</v>
      </c>
      <c r="T55" s="508" t="s">
        <v>621</v>
      </c>
      <c r="U55" s="246">
        <f>D55</f>
        <v>7.64</v>
      </c>
      <c r="V55" s="245">
        <f>'Ф1 2020'!J67</f>
        <v>0.8</v>
      </c>
      <c r="W55" s="245" t="s">
        <v>621</v>
      </c>
      <c r="X55" s="350" t="s">
        <v>621</v>
      </c>
      <c r="Y55" s="245" t="s">
        <v>621</v>
      </c>
      <c r="Z55" s="245" t="s">
        <v>621</v>
      </c>
      <c r="AA55" s="246" t="str">
        <f>T55</f>
        <v>нд</v>
      </c>
      <c r="AB55" s="246">
        <f>U55</f>
        <v>7.64</v>
      </c>
      <c r="AC55" s="245">
        <f>V55</f>
        <v>0.8</v>
      </c>
      <c r="AD55" s="245" t="s">
        <v>621</v>
      </c>
      <c r="AE55" s="245" t="s">
        <v>621</v>
      </c>
      <c r="AF55" s="245" t="s">
        <v>621</v>
      </c>
      <c r="AG55" s="509" t="s">
        <v>621</v>
      </c>
      <c r="AH55" s="500" t="s">
        <v>621</v>
      </c>
      <c r="AI55" s="245">
        <v>0</v>
      </c>
      <c r="AJ55" s="245" t="s">
        <v>621</v>
      </c>
      <c r="AK55" s="245" t="s">
        <v>621</v>
      </c>
      <c r="AL55" s="245" t="s">
        <v>621</v>
      </c>
      <c r="AM55" s="245" t="s">
        <v>621</v>
      </c>
      <c r="AN55" s="245" t="s">
        <v>621</v>
      </c>
      <c r="AO55" s="245" t="str">
        <f>AH55</f>
        <v>нд</v>
      </c>
      <c r="AP55" s="245">
        <v>0</v>
      </c>
      <c r="AQ55" s="245" t="s">
        <v>621</v>
      </c>
      <c r="AR55" s="245" t="s">
        <v>621</v>
      </c>
      <c r="AS55" s="245" t="s">
        <v>621</v>
      </c>
      <c r="AT55" s="245" t="s">
        <v>621</v>
      </c>
      <c r="AU55" s="509" t="s">
        <v>621</v>
      </c>
      <c r="AV55" s="512" t="s">
        <v>621</v>
      </c>
      <c r="AW55" s="500" t="s">
        <v>621</v>
      </c>
      <c r="AX55" s="245" t="s">
        <v>621</v>
      </c>
      <c r="AY55" s="245" t="s">
        <v>621</v>
      </c>
      <c r="AZ55" s="350" t="s">
        <v>621</v>
      </c>
      <c r="BA55" s="245" t="s">
        <v>621</v>
      </c>
      <c r="BB55" s="245" t="s">
        <v>621</v>
      </c>
      <c r="BC55" s="245" t="str">
        <f>AV55</f>
        <v>нд</v>
      </c>
      <c r="BD55" s="245" t="str">
        <f>AW55</f>
        <v>нд</v>
      </c>
      <c r="BE55" s="245" t="s">
        <v>621</v>
      </c>
      <c r="BF55" s="245" t="s">
        <v>621</v>
      </c>
      <c r="BG55" s="245" t="s">
        <v>621</v>
      </c>
      <c r="BH55" s="245" t="s">
        <v>621</v>
      </c>
      <c r="BI55" s="497" t="s">
        <v>621</v>
      </c>
      <c r="BJ55" s="512" t="s">
        <v>621</v>
      </c>
      <c r="BK55" s="500" t="s">
        <v>621</v>
      </c>
      <c r="BL55" s="245" t="s">
        <v>621</v>
      </c>
      <c r="BM55" s="245" t="s">
        <v>621</v>
      </c>
      <c r="BN55" s="350" t="s">
        <v>621</v>
      </c>
      <c r="BO55" s="245" t="s">
        <v>621</v>
      </c>
      <c r="BP55" s="245" t="s">
        <v>621</v>
      </c>
      <c r="BQ55" s="245" t="s">
        <v>621</v>
      </c>
      <c r="BR55" s="245" t="s">
        <v>621</v>
      </c>
      <c r="BS55" s="245" t="str">
        <f>BL55</f>
        <v>нд</v>
      </c>
      <c r="BT55" s="245" t="s">
        <v>621</v>
      </c>
      <c r="BU55" s="245" t="s">
        <v>621</v>
      </c>
      <c r="BV55" s="245" t="s">
        <v>621</v>
      </c>
      <c r="BW55" s="509" t="s">
        <v>621</v>
      </c>
      <c r="BX55" s="512" t="s">
        <v>621</v>
      </c>
      <c r="BY55" s="568" t="s">
        <v>621</v>
      </c>
      <c r="BZ55" s="245" t="s">
        <v>621</v>
      </c>
      <c r="CA55" s="245" t="s">
        <v>621</v>
      </c>
      <c r="CB55" s="262" t="s">
        <v>621</v>
      </c>
      <c r="CC55" s="245" t="s">
        <v>621</v>
      </c>
      <c r="CD55" s="497" t="s">
        <v>621</v>
      </c>
      <c r="CE55" s="245" t="s">
        <v>621</v>
      </c>
      <c r="CF55" s="246" t="str">
        <f t="shared" ref="CF55:CF71" si="26">BY55</f>
        <v>нд</v>
      </c>
      <c r="CG55" s="245" t="s">
        <v>621</v>
      </c>
      <c r="CH55" s="245" t="s">
        <v>621</v>
      </c>
      <c r="CI55" s="245" t="s">
        <v>621</v>
      </c>
      <c r="CJ55" s="245" t="s">
        <v>621</v>
      </c>
      <c r="CK55" s="509" t="s">
        <v>621</v>
      </c>
      <c r="CL55" s="512" t="s">
        <v>621</v>
      </c>
      <c r="CM55" s="568">
        <v>7.64</v>
      </c>
      <c r="CN55" s="245">
        <v>0.8</v>
      </c>
      <c r="CO55" s="245" t="s">
        <v>621</v>
      </c>
      <c r="CP55" s="262" t="s">
        <v>621</v>
      </c>
      <c r="CQ55" s="245" t="s">
        <v>621</v>
      </c>
      <c r="CR55" s="245">
        <v>0</v>
      </c>
      <c r="CS55" s="512" t="s">
        <v>621</v>
      </c>
      <c r="CT55" s="246">
        <f>'3 (цены без НДС)'!P53</f>
        <v>7.64</v>
      </c>
      <c r="CU55" s="245">
        <f>CN55</f>
        <v>0.8</v>
      </c>
      <c r="CV55" s="245" t="s">
        <v>621</v>
      </c>
      <c r="CW55" s="245" t="s">
        <v>621</v>
      </c>
      <c r="CX55" s="245" t="s">
        <v>621</v>
      </c>
      <c r="CY55" s="509">
        <f>CR55</f>
        <v>0</v>
      </c>
      <c r="CZ55" s="500" t="s">
        <v>621</v>
      </c>
    </row>
    <row r="56" spans="1:104" s="311" customFormat="1" ht="30.75" x14ac:dyDescent="0.3">
      <c r="A56" s="1035" t="s">
        <v>886</v>
      </c>
      <c r="B56" s="968" t="s">
        <v>861</v>
      </c>
      <c r="C56" s="972" t="s">
        <v>1058</v>
      </c>
      <c r="D56" s="246">
        <v>5.58</v>
      </c>
      <c r="E56" s="1003">
        <f>'3 (цены без НДС)'!P54</f>
        <v>5.58</v>
      </c>
      <c r="F56" s="512" t="s">
        <v>621</v>
      </c>
      <c r="G56" s="245" t="s">
        <v>621</v>
      </c>
      <c r="H56" s="245" t="s">
        <v>621</v>
      </c>
      <c r="I56" s="245" t="s">
        <v>621</v>
      </c>
      <c r="J56" s="245" t="s">
        <v>621</v>
      </c>
      <c r="K56" s="245" t="s">
        <v>621</v>
      </c>
      <c r="L56" s="245" t="s">
        <v>621</v>
      </c>
      <c r="M56" s="245" t="s">
        <v>621</v>
      </c>
      <c r="N56" s="245" t="s">
        <v>621</v>
      </c>
      <c r="O56" s="245" t="s">
        <v>621</v>
      </c>
      <c r="P56" s="245" t="s">
        <v>621</v>
      </c>
      <c r="Q56" s="245" t="s">
        <v>621</v>
      </c>
      <c r="R56" s="245" t="s">
        <v>621</v>
      </c>
      <c r="S56" s="509" t="s">
        <v>621</v>
      </c>
      <c r="T56" s="508" t="s">
        <v>621</v>
      </c>
      <c r="U56" s="246">
        <f>D56</f>
        <v>5.58</v>
      </c>
      <c r="V56" s="245">
        <f>'Ф1 2020'!J68</f>
        <v>0.8</v>
      </c>
      <c r="W56" s="245" t="s">
        <v>621</v>
      </c>
      <c r="X56" s="350" t="s">
        <v>621</v>
      </c>
      <c r="Y56" s="245" t="s">
        <v>621</v>
      </c>
      <c r="Z56" s="245" t="s">
        <v>621</v>
      </c>
      <c r="AA56" s="246" t="str">
        <f t="shared" ref="AA56:AA71" si="27">T56</f>
        <v>нд</v>
      </c>
      <c r="AB56" s="246">
        <f>U56</f>
        <v>5.58</v>
      </c>
      <c r="AC56" s="245">
        <f>V56</f>
        <v>0.8</v>
      </c>
      <c r="AD56" s="245" t="s">
        <v>621</v>
      </c>
      <c r="AE56" s="245" t="s">
        <v>621</v>
      </c>
      <c r="AF56" s="245" t="s">
        <v>621</v>
      </c>
      <c r="AG56" s="509" t="s">
        <v>621</v>
      </c>
      <c r="AH56" s="500" t="s">
        <v>621</v>
      </c>
      <c r="AI56" s="245">
        <v>0</v>
      </c>
      <c r="AJ56" s="245" t="s">
        <v>621</v>
      </c>
      <c r="AK56" s="245" t="s">
        <v>621</v>
      </c>
      <c r="AL56" s="245" t="s">
        <v>621</v>
      </c>
      <c r="AM56" s="245" t="s">
        <v>621</v>
      </c>
      <c r="AN56" s="245" t="s">
        <v>621</v>
      </c>
      <c r="AO56" s="245" t="str">
        <f t="shared" ref="AO56:AO71" si="28">AH56</f>
        <v>нд</v>
      </c>
      <c r="AP56" s="245">
        <v>0</v>
      </c>
      <c r="AQ56" s="245" t="s">
        <v>621</v>
      </c>
      <c r="AR56" s="245" t="s">
        <v>621</v>
      </c>
      <c r="AS56" s="245" t="s">
        <v>621</v>
      </c>
      <c r="AT56" s="245" t="s">
        <v>621</v>
      </c>
      <c r="AU56" s="509" t="s">
        <v>621</v>
      </c>
      <c r="AV56" s="512" t="s">
        <v>621</v>
      </c>
      <c r="AW56" s="500" t="s">
        <v>621</v>
      </c>
      <c r="AX56" s="245" t="s">
        <v>621</v>
      </c>
      <c r="AY56" s="245" t="s">
        <v>621</v>
      </c>
      <c r="AZ56" s="350" t="s">
        <v>621</v>
      </c>
      <c r="BA56" s="245" t="s">
        <v>621</v>
      </c>
      <c r="BB56" s="245" t="s">
        <v>621</v>
      </c>
      <c r="BC56" s="245" t="str">
        <f t="shared" ref="BC56:BC74" si="29">AV56</f>
        <v>нд</v>
      </c>
      <c r="BD56" s="245" t="str">
        <f>AW56</f>
        <v>нд</v>
      </c>
      <c r="BE56" s="245" t="s">
        <v>621</v>
      </c>
      <c r="BF56" s="245" t="s">
        <v>621</v>
      </c>
      <c r="BG56" s="245" t="s">
        <v>621</v>
      </c>
      <c r="BH56" s="245" t="s">
        <v>621</v>
      </c>
      <c r="BI56" s="497" t="s">
        <v>621</v>
      </c>
      <c r="BJ56" s="512" t="s">
        <v>621</v>
      </c>
      <c r="BK56" s="500" t="s">
        <v>621</v>
      </c>
      <c r="BL56" s="245" t="s">
        <v>621</v>
      </c>
      <c r="BM56" s="245" t="s">
        <v>621</v>
      </c>
      <c r="BN56" s="350" t="s">
        <v>621</v>
      </c>
      <c r="BO56" s="245" t="s">
        <v>621</v>
      </c>
      <c r="BP56" s="245" t="s">
        <v>621</v>
      </c>
      <c r="BQ56" s="245" t="s">
        <v>621</v>
      </c>
      <c r="BR56" s="245" t="s">
        <v>621</v>
      </c>
      <c r="BS56" s="245" t="str">
        <f t="shared" ref="BS56:BS71" si="30">BL56</f>
        <v>нд</v>
      </c>
      <c r="BT56" s="245" t="s">
        <v>621</v>
      </c>
      <c r="BU56" s="245" t="s">
        <v>621</v>
      </c>
      <c r="BV56" s="245" t="s">
        <v>621</v>
      </c>
      <c r="BW56" s="509" t="s">
        <v>621</v>
      </c>
      <c r="BX56" s="512" t="s">
        <v>621</v>
      </c>
      <c r="BY56" s="568" t="s">
        <v>621</v>
      </c>
      <c r="BZ56" s="245" t="s">
        <v>621</v>
      </c>
      <c r="CA56" s="245" t="s">
        <v>621</v>
      </c>
      <c r="CB56" s="262" t="s">
        <v>621</v>
      </c>
      <c r="CC56" s="245" t="s">
        <v>621</v>
      </c>
      <c r="CD56" s="497" t="s">
        <v>621</v>
      </c>
      <c r="CE56" s="245" t="s">
        <v>621</v>
      </c>
      <c r="CF56" s="246" t="str">
        <f t="shared" si="26"/>
        <v>нд</v>
      </c>
      <c r="CG56" s="245" t="s">
        <v>621</v>
      </c>
      <c r="CH56" s="245" t="s">
        <v>621</v>
      </c>
      <c r="CI56" s="245" t="s">
        <v>621</v>
      </c>
      <c r="CJ56" s="245" t="s">
        <v>621</v>
      </c>
      <c r="CK56" s="509" t="s">
        <v>621</v>
      </c>
      <c r="CL56" s="512" t="s">
        <v>621</v>
      </c>
      <c r="CM56" s="568">
        <v>5.58</v>
      </c>
      <c r="CN56" s="245">
        <v>0.8</v>
      </c>
      <c r="CO56" s="245" t="s">
        <v>621</v>
      </c>
      <c r="CP56" s="262" t="s">
        <v>621</v>
      </c>
      <c r="CQ56" s="245" t="s">
        <v>621</v>
      </c>
      <c r="CR56" s="245">
        <v>0</v>
      </c>
      <c r="CS56" s="512" t="s">
        <v>621</v>
      </c>
      <c r="CT56" s="246">
        <f>'3 (цены без НДС)'!P54</f>
        <v>5.58</v>
      </c>
      <c r="CU56" s="245">
        <f t="shared" ref="CU56:CU73" si="31">CN56</f>
        <v>0.8</v>
      </c>
      <c r="CV56" s="245" t="s">
        <v>621</v>
      </c>
      <c r="CW56" s="245" t="s">
        <v>621</v>
      </c>
      <c r="CX56" s="245" t="s">
        <v>621</v>
      </c>
      <c r="CY56" s="509">
        <f t="shared" ref="CY56:CY72" si="32">CR56</f>
        <v>0</v>
      </c>
      <c r="CZ56" s="500" t="s">
        <v>621</v>
      </c>
    </row>
    <row r="57" spans="1:104" s="311" customFormat="1" ht="42" customHeight="1" x14ac:dyDescent="0.3">
      <c r="A57" s="1035" t="s">
        <v>887</v>
      </c>
      <c r="B57" s="968" t="s">
        <v>862</v>
      </c>
      <c r="C57" s="972" t="s">
        <v>1059</v>
      </c>
      <c r="D57" s="246">
        <v>21.55</v>
      </c>
      <c r="E57" s="1003">
        <f>'3 (цены без НДС)'!P55</f>
        <v>21.55</v>
      </c>
      <c r="F57" s="512" t="s">
        <v>621</v>
      </c>
      <c r="G57" s="245" t="s">
        <v>621</v>
      </c>
      <c r="H57" s="245" t="s">
        <v>621</v>
      </c>
      <c r="I57" s="245" t="s">
        <v>621</v>
      </c>
      <c r="J57" s="245" t="s">
        <v>621</v>
      </c>
      <c r="K57" s="245" t="s">
        <v>621</v>
      </c>
      <c r="L57" s="245" t="s">
        <v>621</v>
      </c>
      <c r="M57" s="245" t="s">
        <v>621</v>
      </c>
      <c r="N57" s="245" t="s">
        <v>621</v>
      </c>
      <c r="O57" s="245" t="s">
        <v>621</v>
      </c>
      <c r="P57" s="245" t="s">
        <v>621</v>
      </c>
      <c r="Q57" s="245" t="s">
        <v>621</v>
      </c>
      <c r="R57" s="245" t="s">
        <v>621</v>
      </c>
      <c r="S57" s="509" t="s">
        <v>621</v>
      </c>
      <c r="T57" s="508" t="s">
        <v>621</v>
      </c>
      <c r="U57" s="246">
        <f>D57</f>
        <v>21.55</v>
      </c>
      <c r="V57" s="245" t="s">
        <v>621</v>
      </c>
      <c r="W57" s="245" t="s">
        <v>621</v>
      </c>
      <c r="X57" s="350" t="s">
        <v>621</v>
      </c>
      <c r="Y57" s="245" t="s">
        <v>621</v>
      </c>
      <c r="Z57" s="245">
        <f>'Ф1 2020'!L69</f>
        <v>28</v>
      </c>
      <c r="AA57" s="246" t="str">
        <f t="shared" si="27"/>
        <v>нд</v>
      </c>
      <c r="AB57" s="246">
        <f>U57</f>
        <v>21.55</v>
      </c>
      <c r="AC57" s="245" t="s">
        <v>621</v>
      </c>
      <c r="AD57" s="245" t="s">
        <v>621</v>
      </c>
      <c r="AE57" s="245" t="s">
        <v>621</v>
      </c>
      <c r="AF57" s="245" t="s">
        <v>621</v>
      </c>
      <c r="AG57" s="509">
        <f>Z57</f>
        <v>28</v>
      </c>
      <c r="AH57" s="500" t="s">
        <v>621</v>
      </c>
      <c r="AI57" s="245">
        <v>0</v>
      </c>
      <c r="AJ57" s="245" t="s">
        <v>621</v>
      </c>
      <c r="AK57" s="245" t="s">
        <v>621</v>
      </c>
      <c r="AL57" s="245" t="s">
        <v>621</v>
      </c>
      <c r="AM57" s="245" t="s">
        <v>621</v>
      </c>
      <c r="AN57" s="245" t="s">
        <v>621</v>
      </c>
      <c r="AO57" s="245" t="str">
        <f t="shared" si="28"/>
        <v>нд</v>
      </c>
      <c r="AP57" s="245">
        <v>0</v>
      </c>
      <c r="AQ57" s="245" t="s">
        <v>621</v>
      </c>
      <c r="AR57" s="245" t="s">
        <v>621</v>
      </c>
      <c r="AS57" s="245" t="s">
        <v>621</v>
      </c>
      <c r="AT57" s="245" t="s">
        <v>621</v>
      </c>
      <c r="AU57" s="509" t="s">
        <v>621</v>
      </c>
      <c r="AV57" s="512" t="s">
        <v>621</v>
      </c>
      <c r="AW57" s="500" t="s">
        <v>621</v>
      </c>
      <c r="AX57" s="245" t="s">
        <v>621</v>
      </c>
      <c r="AY57" s="245" t="s">
        <v>621</v>
      </c>
      <c r="AZ57" s="350" t="s">
        <v>621</v>
      </c>
      <c r="BA57" s="245" t="s">
        <v>621</v>
      </c>
      <c r="BB57" s="245" t="s">
        <v>621</v>
      </c>
      <c r="BC57" s="245" t="str">
        <f t="shared" si="29"/>
        <v>нд</v>
      </c>
      <c r="BD57" s="245" t="str">
        <f>AW57</f>
        <v>нд</v>
      </c>
      <c r="BE57" s="245" t="s">
        <v>621</v>
      </c>
      <c r="BF57" s="245" t="s">
        <v>621</v>
      </c>
      <c r="BG57" s="245" t="s">
        <v>621</v>
      </c>
      <c r="BH57" s="245" t="s">
        <v>621</v>
      </c>
      <c r="BI57" s="497" t="s">
        <v>621</v>
      </c>
      <c r="BJ57" s="512" t="s">
        <v>621</v>
      </c>
      <c r="BK57" s="500" t="s">
        <v>621</v>
      </c>
      <c r="BL57" s="245" t="s">
        <v>621</v>
      </c>
      <c r="BM57" s="245" t="s">
        <v>621</v>
      </c>
      <c r="BN57" s="350" t="s">
        <v>621</v>
      </c>
      <c r="BO57" s="245" t="s">
        <v>621</v>
      </c>
      <c r="BP57" s="245" t="s">
        <v>621</v>
      </c>
      <c r="BQ57" s="245" t="s">
        <v>621</v>
      </c>
      <c r="BR57" s="245" t="s">
        <v>621</v>
      </c>
      <c r="BS57" s="245" t="str">
        <f t="shared" si="30"/>
        <v>нд</v>
      </c>
      <c r="BT57" s="245" t="s">
        <v>621</v>
      </c>
      <c r="BU57" s="245" t="s">
        <v>621</v>
      </c>
      <c r="BV57" s="245" t="s">
        <v>621</v>
      </c>
      <c r="BW57" s="509" t="s">
        <v>621</v>
      </c>
      <c r="BX57" s="512" t="s">
        <v>621</v>
      </c>
      <c r="BY57" s="568" t="s">
        <v>621</v>
      </c>
      <c r="BZ57" s="245" t="s">
        <v>621</v>
      </c>
      <c r="CA57" s="245" t="s">
        <v>621</v>
      </c>
      <c r="CB57" s="262" t="s">
        <v>621</v>
      </c>
      <c r="CC57" s="245" t="s">
        <v>621</v>
      </c>
      <c r="CD57" s="497" t="s">
        <v>621</v>
      </c>
      <c r="CE57" s="245" t="s">
        <v>621</v>
      </c>
      <c r="CF57" s="246" t="str">
        <f t="shared" si="26"/>
        <v>нд</v>
      </c>
      <c r="CG57" s="245" t="s">
        <v>621</v>
      </c>
      <c r="CH57" s="245" t="s">
        <v>621</v>
      </c>
      <c r="CI57" s="245" t="s">
        <v>621</v>
      </c>
      <c r="CJ57" s="245" t="s">
        <v>621</v>
      </c>
      <c r="CK57" s="509" t="s">
        <v>621</v>
      </c>
      <c r="CL57" s="512" t="s">
        <v>621</v>
      </c>
      <c r="CM57" s="568">
        <v>21.55</v>
      </c>
      <c r="CN57" s="245">
        <v>0</v>
      </c>
      <c r="CO57" s="245" t="s">
        <v>621</v>
      </c>
      <c r="CP57" s="262" t="s">
        <v>621</v>
      </c>
      <c r="CQ57" s="245" t="s">
        <v>621</v>
      </c>
      <c r="CR57" s="245">
        <v>28</v>
      </c>
      <c r="CS57" s="512" t="s">
        <v>621</v>
      </c>
      <c r="CT57" s="246">
        <f>'3 (цены без НДС)'!P55</f>
        <v>21.55</v>
      </c>
      <c r="CU57" s="245">
        <f t="shared" si="31"/>
        <v>0</v>
      </c>
      <c r="CV57" s="245" t="s">
        <v>621</v>
      </c>
      <c r="CW57" s="245" t="s">
        <v>621</v>
      </c>
      <c r="CX57" s="245" t="s">
        <v>621</v>
      </c>
      <c r="CY57" s="509">
        <f t="shared" si="32"/>
        <v>28</v>
      </c>
      <c r="CZ57" s="500" t="s">
        <v>621</v>
      </c>
    </row>
    <row r="58" spans="1:104" s="311" customFormat="1" ht="32.25" customHeight="1" x14ac:dyDescent="0.3">
      <c r="A58" s="1035" t="s">
        <v>888</v>
      </c>
      <c r="B58" s="968" t="s">
        <v>866</v>
      </c>
      <c r="C58" s="972" t="s">
        <v>1060</v>
      </c>
      <c r="D58" s="246">
        <v>6.33</v>
      </c>
      <c r="E58" s="1003">
        <f>'3 (цены без НДС)'!P56</f>
        <v>0</v>
      </c>
      <c r="F58" s="512" t="s">
        <v>621</v>
      </c>
      <c r="G58" s="245" t="s">
        <v>621</v>
      </c>
      <c r="H58" s="245" t="s">
        <v>621</v>
      </c>
      <c r="I58" s="245" t="s">
        <v>621</v>
      </c>
      <c r="J58" s="245" t="s">
        <v>621</v>
      </c>
      <c r="K58" s="245" t="s">
        <v>621</v>
      </c>
      <c r="L58" s="245" t="s">
        <v>621</v>
      </c>
      <c r="M58" s="245" t="s">
        <v>621</v>
      </c>
      <c r="N58" s="245" t="s">
        <v>621</v>
      </c>
      <c r="O58" s="245" t="s">
        <v>621</v>
      </c>
      <c r="P58" s="245" t="s">
        <v>621</v>
      </c>
      <c r="Q58" s="245" t="s">
        <v>621</v>
      </c>
      <c r="R58" s="245" t="s">
        <v>621</v>
      </c>
      <c r="S58" s="509" t="s">
        <v>621</v>
      </c>
      <c r="T58" s="512" t="s">
        <v>621</v>
      </c>
      <c r="U58" s="245" t="s">
        <v>621</v>
      </c>
      <c r="V58" s="245" t="s">
        <v>621</v>
      </c>
      <c r="W58" s="245" t="s">
        <v>621</v>
      </c>
      <c r="X58" s="350" t="s">
        <v>621</v>
      </c>
      <c r="Y58" s="245" t="s">
        <v>621</v>
      </c>
      <c r="Z58" s="245" t="s">
        <v>621</v>
      </c>
      <c r="AA58" s="246" t="str">
        <f t="shared" si="27"/>
        <v>нд</v>
      </c>
      <c r="AB58" s="246" t="s">
        <v>621</v>
      </c>
      <c r="AC58" s="245" t="s">
        <v>621</v>
      </c>
      <c r="AD58" s="245" t="s">
        <v>621</v>
      </c>
      <c r="AE58" s="245" t="s">
        <v>621</v>
      </c>
      <c r="AF58" s="245" t="s">
        <v>621</v>
      </c>
      <c r="AG58" s="509" t="s">
        <v>621</v>
      </c>
      <c r="AH58" s="996" t="s">
        <v>621</v>
      </c>
      <c r="AI58" s="246">
        <v>6.33</v>
      </c>
      <c r="AJ58" s="245">
        <f>'Ф1 2021'!J80</f>
        <v>0.8</v>
      </c>
      <c r="AK58" s="245" t="s">
        <v>621</v>
      </c>
      <c r="AL58" s="245" t="s">
        <v>621</v>
      </c>
      <c r="AM58" s="245" t="s">
        <v>621</v>
      </c>
      <c r="AN58" s="245" t="s">
        <v>621</v>
      </c>
      <c r="AO58" s="245" t="str">
        <f t="shared" si="28"/>
        <v>нд</v>
      </c>
      <c r="AP58" s="245">
        <v>0</v>
      </c>
      <c r="AQ58" s="245">
        <v>0</v>
      </c>
      <c r="AR58" s="245" t="s">
        <v>621</v>
      </c>
      <c r="AS58" s="245" t="s">
        <v>621</v>
      </c>
      <c r="AT58" s="245" t="s">
        <v>621</v>
      </c>
      <c r="AU58" s="509" t="s">
        <v>621</v>
      </c>
      <c r="AV58" s="512" t="s">
        <v>621</v>
      </c>
      <c r="AW58" s="500" t="s">
        <v>621</v>
      </c>
      <c r="AX58" s="245" t="s">
        <v>621</v>
      </c>
      <c r="AY58" s="245" t="s">
        <v>621</v>
      </c>
      <c r="AZ58" s="350" t="s">
        <v>621</v>
      </c>
      <c r="BA58" s="245" t="s">
        <v>621</v>
      </c>
      <c r="BB58" s="245" t="s">
        <v>621</v>
      </c>
      <c r="BC58" s="245" t="str">
        <f t="shared" si="29"/>
        <v>нд</v>
      </c>
      <c r="BD58" s="245" t="str">
        <f>AW58</f>
        <v>нд</v>
      </c>
      <c r="BE58" s="245" t="s">
        <v>621</v>
      </c>
      <c r="BF58" s="245" t="s">
        <v>621</v>
      </c>
      <c r="BG58" s="245" t="s">
        <v>621</v>
      </c>
      <c r="BH58" s="245" t="s">
        <v>621</v>
      </c>
      <c r="BI58" s="497" t="s">
        <v>621</v>
      </c>
      <c r="BJ58" s="512" t="s">
        <v>621</v>
      </c>
      <c r="BK58" s="500" t="s">
        <v>621</v>
      </c>
      <c r="BL58" s="245" t="s">
        <v>621</v>
      </c>
      <c r="BM58" s="245" t="s">
        <v>621</v>
      </c>
      <c r="BN58" s="350" t="s">
        <v>621</v>
      </c>
      <c r="BO58" s="245" t="s">
        <v>621</v>
      </c>
      <c r="BP58" s="245" t="s">
        <v>621</v>
      </c>
      <c r="BQ58" s="245" t="s">
        <v>621</v>
      </c>
      <c r="BR58" s="245" t="s">
        <v>621</v>
      </c>
      <c r="BS58" s="245" t="str">
        <f t="shared" si="30"/>
        <v>нд</v>
      </c>
      <c r="BT58" s="245" t="s">
        <v>621</v>
      </c>
      <c r="BU58" s="245" t="s">
        <v>621</v>
      </c>
      <c r="BV58" s="245" t="s">
        <v>621</v>
      </c>
      <c r="BW58" s="509" t="s">
        <v>621</v>
      </c>
      <c r="BX58" s="512" t="s">
        <v>621</v>
      </c>
      <c r="BY58" s="568" t="s">
        <v>621</v>
      </c>
      <c r="BZ58" s="245" t="s">
        <v>621</v>
      </c>
      <c r="CA58" s="245" t="s">
        <v>621</v>
      </c>
      <c r="CB58" s="262" t="s">
        <v>621</v>
      </c>
      <c r="CC58" s="245" t="s">
        <v>621</v>
      </c>
      <c r="CD58" s="497" t="s">
        <v>621</v>
      </c>
      <c r="CE58" s="245" t="s">
        <v>621</v>
      </c>
      <c r="CF58" s="246" t="str">
        <f t="shared" si="26"/>
        <v>нд</v>
      </c>
      <c r="CG58" s="245" t="s">
        <v>621</v>
      </c>
      <c r="CH58" s="245" t="s">
        <v>621</v>
      </c>
      <c r="CI58" s="245" t="s">
        <v>621</v>
      </c>
      <c r="CJ58" s="245" t="s">
        <v>621</v>
      </c>
      <c r="CK58" s="509" t="s">
        <v>621</v>
      </c>
      <c r="CL58" s="512" t="s">
        <v>621</v>
      </c>
      <c r="CM58" s="568">
        <v>6.33</v>
      </c>
      <c r="CN58" s="245">
        <v>0.8</v>
      </c>
      <c r="CO58" s="245" t="s">
        <v>621</v>
      </c>
      <c r="CP58" s="262" t="s">
        <v>621</v>
      </c>
      <c r="CQ58" s="245" t="s">
        <v>621</v>
      </c>
      <c r="CR58" s="245">
        <v>0</v>
      </c>
      <c r="CS58" s="512" t="s">
        <v>621</v>
      </c>
      <c r="CT58" s="246">
        <f>'3 (цены без НДС)'!P56</f>
        <v>0</v>
      </c>
      <c r="CU58" s="245">
        <v>0</v>
      </c>
      <c r="CV58" s="245" t="s">
        <v>621</v>
      </c>
      <c r="CW58" s="245" t="s">
        <v>621</v>
      </c>
      <c r="CX58" s="245" t="s">
        <v>621</v>
      </c>
      <c r="CY58" s="509">
        <f t="shared" si="32"/>
        <v>0</v>
      </c>
      <c r="CZ58" s="500" t="s">
        <v>621</v>
      </c>
    </row>
    <row r="59" spans="1:104" s="311" customFormat="1" ht="40.5" x14ac:dyDescent="0.3">
      <c r="A59" s="1042" t="s">
        <v>889</v>
      </c>
      <c r="B59" s="344" t="s">
        <v>916</v>
      </c>
      <c r="C59" s="1026" t="s">
        <v>1061</v>
      </c>
      <c r="D59" s="747">
        <v>9.9700000000000006</v>
      </c>
      <c r="E59" s="1003">
        <f>'3 (цены без НДС)'!P57</f>
        <v>12.07</v>
      </c>
      <c r="F59" s="512" t="s">
        <v>621</v>
      </c>
      <c r="G59" s="245" t="s">
        <v>621</v>
      </c>
      <c r="H59" s="245" t="s">
        <v>621</v>
      </c>
      <c r="I59" s="245" t="s">
        <v>621</v>
      </c>
      <c r="J59" s="245" t="s">
        <v>621</v>
      </c>
      <c r="K59" s="245" t="s">
        <v>621</v>
      </c>
      <c r="L59" s="245" t="s">
        <v>621</v>
      </c>
      <c r="M59" s="245" t="s">
        <v>621</v>
      </c>
      <c r="N59" s="245" t="s">
        <v>621</v>
      </c>
      <c r="O59" s="245" t="s">
        <v>621</v>
      </c>
      <c r="P59" s="245" t="s">
        <v>621</v>
      </c>
      <c r="Q59" s="245" t="s">
        <v>621</v>
      </c>
      <c r="R59" s="245" t="s">
        <v>621</v>
      </c>
      <c r="S59" s="509" t="s">
        <v>621</v>
      </c>
      <c r="T59" s="512" t="s">
        <v>621</v>
      </c>
      <c r="U59" s="245" t="s">
        <v>621</v>
      </c>
      <c r="V59" s="245" t="s">
        <v>621</v>
      </c>
      <c r="W59" s="245" t="s">
        <v>621</v>
      </c>
      <c r="X59" s="350" t="s">
        <v>621</v>
      </c>
      <c r="Y59" s="245" t="s">
        <v>621</v>
      </c>
      <c r="Z59" s="245" t="s">
        <v>621</v>
      </c>
      <c r="AA59" s="246" t="str">
        <f t="shared" si="27"/>
        <v>нд</v>
      </c>
      <c r="AB59" s="246" t="s">
        <v>621</v>
      </c>
      <c r="AC59" s="245" t="s">
        <v>621</v>
      </c>
      <c r="AD59" s="245" t="s">
        <v>621</v>
      </c>
      <c r="AE59" s="245" t="s">
        <v>621</v>
      </c>
      <c r="AF59" s="245" t="s">
        <v>621</v>
      </c>
      <c r="AG59" s="509" t="s">
        <v>621</v>
      </c>
      <c r="AH59" s="996" t="s">
        <v>621</v>
      </c>
      <c r="AI59" s="246">
        <v>9.9700000000000006</v>
      </c>
      <c r="AJ59" s="245" t="s">
        <v>621</v>
      </c>
      <c r="AK59" s="245" t="s">
        <v>621</v>
      </c>
      <c r="AL59" s="245" t="s">
        <v>621</v>
      </c>
      <c r="AM59" s="245" t="s">
        <v>621</v>
      </c>
      <c r="AN59" s="245">
        <v>15</v>
      </c>
      <c r="AO59" s="245" t="str">
        <f t="shared" si="28"/>
        <v>нд</v>
      </c>
      <c r="AP59" s="246">
        <f>'3 (цены без НДС)'!AN57</f>
        <v>12.07</v>
      </c>
      <c r="AQ59" s="245" t="s">
        <v>621</v>
      </c>
      <c r="AR59" s="245" t="s">
        <v>621</v>
      </c>
      <c r="AS59" s="245" t="s">
        <v>621</v>
      </c>
      <c r="AT59" s="245" t="s">
        <v>621</v>
      </c>
      <c r="AU59" s="509">
        <v>18</v>
      </c>
      <c r="AV59" s="512" t="s">
        <v>621</v>
      </c>
      <c r="AW59" s="500" t="s">
        <v>621</v>
      </c>
      <c r="AX59" s="245" t="s">
        <v>621</v>
      </c>
      <c r="AY59" s="245" t="s">
        <v>621</v>
      </c>
      <c r="AZ59" s="350" t="s">
        <v>621</v>
      </c>
      <c r="BA59" s="245" t="s">
        <v>621</v>
      </c>
      <c r="BB59" s="245" t="s">
        <v>621</v>
      </c>
      <c r="BC59" s="245" t="str">
        <f t="shared" si="29"/>
        <v>нд</v>
      </c>
      <c r="BD59" s="245" t="str">
        <f>AW59</f>
        <v>нд</v>
      </c>
      <c r="BE59" s="245" t="s">
        <v>621</v>
      </c>
      <c r="BF59" s="245" t="s">
        <v>621</v>
      </c>
      <c r="BG59" s="245" t="s">
        <v>621</v>
      </c>
      <c r="BH59" s="245" t="s">
        <v>621</v>
      </c>
      <c r="BI59" s="497" t="s">
        <v>621</v>
      </c>
      <c r="BJ59" s="512" t="s">
        <v>621</v>
      </c>
      <c r="BK59" s="500" t="s">
        <v>621</v>
      </c>
      <c r="BL59" s="245" t="s">
        <v>621</v>
      </c>
      <c r="BM59" s="245" t="s">
        <v>621</v>
      </c>
      <c r="BN59" s="350" t="s">
        <v>621</v>
      </c>
      <c r="BO59" s="245" t="s">
        <v>621</v>
      </c>
      <c r="BP59" s="245" t="s">
        <v>621</v>
      </c>
      <c r="BQ59" s="245" t="s">
        <v>621</v>
      </c>
      <c r="BR59" s="245" t="s">
        <v>621</v>
      </c>
      <c r="BS59" s="245" t="str">
        <f t="shared" si="30"/>
        <v>нд</v>
      </c>
      <c r="BT59" s="245" t="s">
        <v>621</v>
      </c>
      <c r="BU59" s="245" t="s">
        <v>621</v>
      </c>
      <c r="BV59" s="245" t="s">
        <v>621</v>
      </c>
      <c r="BW59" s="509" t="s">
        <v>621</v>
      </c>
      <c r="BX59" s="512" t="s">
        <v>621</v>
      </c>
      <c r="BY59" s="568" t="s">
        <v>621</v>
      </c>
      <c r="BZ59" s="245" t="s">
        <v>621</v>
      </c>
      <c r="CA59" s="245" t="s">
        <v>621</v>
      </c>
      <c r="CB59" s="262" t="s">
        <v>621</v>
      </c>
      <c r="CC59" s="245" t="s">
        <v>621</v>
      </c>
      <c r="CD59" s="497" t="s">
        <v>621</v>
      </c>
      <c r="CE59" s="245" t="s">
        <v>621</v>
      </c>
      <c r="CF59" s="246" t="str">
        <f t="shared" si="26"/>
        <v>нд</v>
      </c>
      <c r="CG59" s="245" t="s">
        <v>621</v>
      </c>
      <c r="CH59" s="245" t="s">
        <v>621</v>
      </c>
      <c r="CI59" s="245" t="s">
        <v>621</v>
      </c>
      <c r="CJ59" s="245" t="s">
        <v>621</v>
      </c>
      <c r="CK59" s="509" t="s">
        <v>621</v>
      </c>
      <c r="CL59" s="512" t="s">
        <v>621</v>
      </c>
      <c r="CM59" s="568">
        <v>9.9700000000000006</v>
      </c>
      <c r="CN59" s="245">
        <v>0</v>
      </c>
      <c r="CO59" s="245" t="s">
        <v>621</v>
      </c>
      <c r="CP59" s="262" t="s">
        <v>621</v>
      </c>
      <c r="CQ59" s="245" t="s">
        <v>621</v>
      </c>
      <c r="CR59" s="245">
        <v>15</v>
      </c>
      <c r="CS59" s="512" t="s">
        <v>621</v>
      </c>
      <c r="CT59" s="246">
        <f>'3 (цены без НДС)'!P57</f>
        <v>12.07</v>
      </c>
      <c r="CU59" s="245">
        <f t="shared" si="31"/>
        <v>0</v>
      </c>
      <c r="CV59" s="245" t="s">
        <v>621</v>
      </c>
      <c r="CW59" s="245" t="s">
        <v>621</v>
      </c>
      <c r="CX59" s="245" t="s">
        <v>621</v>
      </c>
      <c r="CY59" s="509">
        <f t="shared" si="32"/>
        <v>15</v>
      </c>
      <c r="CZ59" s="500" t="s">
        <v>621</v>
      </c>
    </row>
    <row r="60" spans="1:104" s="311" customFormat="1" ht="30.75" x14ac:dyDescent="0.3">
      <c r="A60" s="1035" t="s">
        <v>890</v>
      </c>
      <c r="B60" s="968" t="s">
        <v>871</v>
      </c>
      <c r="C60" s="972" t="s">
        <v>1062</v>
      </c>
      <c r="D60" s="246">
        <v>7.24</v>
      </c>
      <c r="E60" s="1003">
        <f>'3 (цены без НДС)'!P58</f>
        <v>0</v>
      </c>
      <c r="F60" s="512" t="s">
        <v>621</v>
      </c>
      <c r="G60" s="245" t="s">
        <v>621</v>
      </c>
      <c r="H60" s="245" t="s">
        <v>621</v>
      </c>
      <c r="I60" s="245" t="s">
        <v>621</v>
      </c>
      <c r="J60" s="245" t="s">
        <v>621</v>
      </c>
      <c r="K60" s="245" t="s">
        <v>621</v>
      </c>
      <c r="L60" s="245" t="s">
        <v>621</v>
      </c>
      <c r="M60" s="245" t="s">
        <v>621</v>
      </c>
      <c r="N60" s="245" t="s">
        <v>621</v>
      </c>
      <c r="O60" s="245" t="s">
        <v>621</v>
      </c>
      <c r="P60" s="245" t="s">
        <v>621</v>
      </c>
      <c r="Q60" s="245" t="s">
        <v>621</v>
      </c>
      <c r="R60" s="245" t="s">
        <v>621</v>
      </c>
      <c r="S60" s="509" t="s">
        <v>621</v>
      </c>
      <c r="T60" s="512" t="s">
        <v>621</v>
      </c>
      <c r="U60" s="245" t="s">
        <v>621</v>
      </c>
      <c r="V60" s="245" t="s">
        <v>621</v>
      </c>
      <c r="W60" s="245" t="s">
        <v>621</v>
      </c>
      <c r="X60" s="350" t="s">
        <v>621</v>
      </c>
      <c r="Y60" s="245" t="s">
        <v>621</v>
      </c>
      <c r="Z60" s="245" t="s">
        <v>621</v>
      </c>
      <c r="AA60" s="246" t="str">
        <f t="shared" si="27"/>
        <v>нд</v>
      </c>
      <c r="AB60" s="246" t="s">
        <v>621</v>
      </c>
      <c r="AC60" s="245" t="s">
        <v>621</v>
      </c>
      <c r="AD60" s="245" t="s">
        <v>621</v>
      </c>
      <c r="AE60" s="245" t="s">
        <v>621</v>
      </c>
      <c r="AF60" s="245" t="s">
        <v>621</v>
      </c>
      <c r="AG60" s="509" t="s">
        <v>621</v>
      </c>
      <c r="AH60" s="996" t="s">
        <v>621</v>
      </c>
      <c r="AI60" s="245">
        <v>0</v>
      </c>
      <c r="AJ60" s="245" t="s">
        <v>621</v>
      </c>
      <c r="AK60" s="245" t="s">
        <v>621</v>
      </c>
      <c r="AL60" s="245" t="s">
        <v>621</v>
      </c>
      <c r="AM60" s="245" t="s">
        <v>621</v>
      </c>
      <c r="AN60" s="245" t="s">
        <v>621</v>
      </c>
      <c r="AO60" s="245" t="str">
        <f t="shared" si="28"/>
        <v>нд</v>
      </c>
      <c r="AP60" s="245">
        <v>0</v>
      </c>
      <c r="AQ60" s="245" t="s">
        <v>621</v>
      </c>
      <c r="AR60" s="245" t="s">
        <v>621</v>
      </c>
      <c r="AS60" s="245" t="s">
        <v>621</v>
      </c>
      <c r="AT60" s="245" t="s">
        <v>621</v>
      </c>
      <c r="AU60" s="509" t="s">
        <v>621</v>
      </c>
      <c r="AV60" s="512" t="s">
        <v>621</v>
      </c>
      <c r="AW60" s="568">
        <v>7.24</v>
      </c>
      <c r="AX60" s="245">
        <v>0.8</v>
      </c>
      <c r="AY60" s="245" t="s">
        <v>621</v>
      </c>
      <c r="AZ60" s="350" t="s">
        <v>621</v>
      </c>
      <c r="BA60" s="245" t="s">
        <v>621</v>
      </c>
      <c r="BB60" s="245" t="s">
        <v>621</v>
      </c>
      <c r="BC60" s="245" t="str">
        <f t="shared" si="29"/>
        <v>нд</v>
      </c>
      <c r="BD60" s="245">
        <v>0</v>
      </c>
      <c r="BE60" s="245">
        <v>0</v>
      </c>
      <c r="BF60" s="245" t="s">
        <v>621</v>
      </c>
      <c r="BG60" s="245" t="s">
        <v>621</v>
      </c>
      <c r="BH60" s="245" t="s">
        <v>621</v>
      </c>
      <c r="BI60" s="497" t="s">
        <v>621</v>
      </c>
      <c r="BJ60" s="512" t="s">
        <v>621</v>
      </c>
      <c r="BK60" s="500" t="s">
        <v>621</v>
      </c>
      <c r="BL60" s="245" t="s">
        <v>621</v>
      </c>
      <c r="BM60" s="245" t="s">
        <v>621</v>
      </c>
      <c r="BN60" s="350" t="s">
        <v>621</v>
      </c>
      <c r="BO60" s="245" t="s">
        <v>621</v>
      </c>
      <c r="BP60" s="245" t="s">
        <v>621</v>
      </c>
      <c r="BQ60" s="245" t="s">
        <v>621</v>
      </c>
      <c r="BR60" s="245" t="s">
        <v>621</v>
      </c>
      <c r="BS60" s="245" t="str">
        <f t="shared" si="30"/>
        <v>нд</v>
      </c>
      <c r="BT60" s="245" t="s">
        <v>621</v>
      </c>
      <c r="BU60" s="245" t="s">
        <v>621</v>
      </c>
      <c r="BV60" s="245" t="s">
        <v>621</v>
      </c>
      <c r="BW60" s="509" t="s">
        <v>621</v>
      </c>
      <c r="BX60" s="512" t="s">
        <v>621</v>
      </c>
      <c r="BY60" s="568" t="s">
        <v>621</v>
      </c>
      <c r="BZ60" s="245" t="s">
        <v>621</v>
      </c>
      <c r="CA60" s="245" t="s">
        <v>621</v>
      </c>
      <c r="CB60" s="262" t="s">
        <v>621</v>
      </c>
      <c r="CC60" s="245" t="s">
        <v>621</v>
      </c>
      <c r="CD60" s="497" t="s">
        <v>621</v>
      </c>
      <c r="CE60" s="245" t="s">
        <v>621</v>
      </c>
      <c r="CF60" s="246" t="str">
        <f t="shared" si="26"/>
        <v>нд</v>
      </c>
      <c r="CG60" s="245" t="s">
        <v>621</v>
      </c>
      <c r="CH60" s="245" t="s">
        <v>621</v>
      </c>
      <c r="CI60" s="245" t="s">
        <v>621</v>
      </c>
      <c r="CJ60" s="245" t="s">
        <v>621</v>
      </c>
      <c r="CK60" s="509" t="s">
        <v>621</v>
      </c>
      <c r="CL60" s="512" t="s">
        <v>621</v>
      </c>
      <c r="CM60" s="568">
        <v>7.24</v>
      </c>
      <c r="CN60" s="245">
        <v>0.8</v>
      </c>
      <c r="CO60" s="245" t="s">
        <v>621</v>
      </c>
      <c r="CP60" s="262" t="s">
        <v>621</v>
      </c>
      <c r="CQ60" s="245" t="s">
        <v>621</v>
      </c>
      <c r="CR60" s="245">
        <v>0</v>
      </c>
      <c r="CS60" s="512" t="s">
        <v>621</v>
      </c>
      <c r="CT60" s="246">
        <f>'3 (цены без НДС)'!P58</f>
        <v>0</v>
      </c>
      <c r="CU60" s="245">
        <v>0</v>
      </c>
      <c r="CV60" s="245" t="s">
        <v>621</v>
      </c>
      <c r="CW60" s="245" t="s">
        <v>621</v>
      </c>
      <c r="CX60" s="245" t="s">
        <v>621</v>
      </c>
      <c r="CY60" s="509">
        <f t="shared" si="32"/>
        <v>0</v>
      </c>
      <c r="CZ60" s="500" t="s">
        <v>621</v>
      </c>
    </row>
    <row r="61" spans="1:104" s="311" customFormat="1" ht="30.75" x14ac:dyDescent="0.3">
      <c r="A61" s="1035" t="s">
        <v>891</v>
      </c>
      <c r="B61" s="968" t="s">
        <v>872</v>
      </c>
      <c r="C61" s="972" t="s">
        <v>1063</v>
      </c>
      <c r="D61" s="246">
        <v>8.82</v>
      </c>
      <c r="E61" s="1003">
        <f>'3 (цены без НДС)'!P59</f>
        <v>0</v>
      </c>
      <c r="F61" s="512" t="s">
        <v>621</v>
      </c>
      <c r="G61" s="245" t="s">
        <v>621</v>
      </c>
      <c r="H61" s="245" t="s">
        <v>621</v>
      </c>
      <c r="I61" s="245" t="s">
        <v>621</v>
      </c>
      <c r="J61" s="245" t="s">
        <v>621</v>
      </c>
      <c r="K61" s="245" t="s">
        <v>621</v>
      </c>
      <c r="L61" s="245" t="s">
        <v>621</v>
      </c>
      <c r="M61" s="245" t="s">
        <v>621</v>
      </c>
      <c r="N61" s="245" t="s">
        <v>621</v>
      </c>
      <c r="O61" s="245" t="s">
        <v>621</v>
      </c>
      <c r="P61" s="245" t="s">
        <v>621</v>
      </c>
      <c r="Q61" s="245" t="s">
        <v>621</v>
      </c>
      <c r="R61" s="245" t="s">
        <v>621</v>
      </c>
      <c r="S61" s="509" t="s">
        <v>621</v>
      </c>
      <c r="T61" s="512" t="s">
        <v>621</v>
      </c>
      <c r="U61" s="245" t="s">
        <v>621</v>
      </c>
      <c r="V61" s="245" t="s">
        <v>621</v>
      </c>
      <c r="W61" s="245" t="s">
        <v>621</v>
      </c>
      <c r="X61" s="350" t="s">
        <v>621</v>
      </c>
      <c r="Y61" s="245" t="s">
        <v>621</v>
      </c>
      <c r="Z61" s="245" t="s">
        <v>621</v>
      </c>
      <c r="AA61" s="246" t="str">
        <f t="shared" si="27"/>
        <v>нд</v>
      </c>
      <c r="AB61" s="246" t="s">
        <v>621</v>
      </c>
      <c r="AC61" s="245" t="s">
        <v>621</v>
      </c>
      <c r="AD61" s="245" t="s">
        <v>621</v>
      </c>
      <c r="AE61" s="245" t="s">
        <v>621</v>
      </c>
      <c r="AF61" s="245" t="s">
        <v>621</v>
      </c>
      <c r="AG61" s="509" t="s">
        <v>621</v>
      </c>
      <c r="AH61" s="996" t="s">
        <v>621</v>
      </c>
      <c r="AI61" s="245">
        <v>0</v>
      </c>
      <c r="AJ61" s="245" t="s">
        <v>621</v>
      </c>
      <c r="AK61" s="245" t="s">
        <v>621</v>
      </c>
      <c r="AL61" s="245" t="s">
        <v>621</v>
      </c>
      <c r="AM61" s="245" t="s">
        <v>621</v>
      </c>
      <c r="AN61" s="245" t="s">
        <v>621</v>
      </c>
      <c r="AO61" s="245" t="str">
        <f t="shared" si="28"/>
        <v>нд</v>
      </c>
      <c r="AP61" s="245">
        <v>0</v>
      </c>
      <c r="AQ61" s="245" t="s">
        <v>621</v>
      </c>
      <c r="AR61" s="245" t="s">
        <v>621</v>
      </c>
      <c r="AS61" s="245" t="s">
        <v>621</v>
      </c>
      <c r="AT61" s="245" t="s">
        <v>621</v>
      </c>
      <c r="AU61" s="509" t="s">
        <v>621</v>
      </c>
      <c r="AV61" s="512" t="s">
        <v>621</v>
      </c>
      <c r="AW61" s="568">
        <v>8.82</v>
      </c>
      <c r="AX61" s="245">
        <v>1.26</v>
      </c>
      <c r="AY61" s="245" t="s">
        <v>621</v>
      </c>
      <c r="AZ61" s="350" t="s">
        <v>621</v>
      </c>
      <c r="BA61" s="245" t="s">
        <v>621</v>
      </c>
      <c r="BB61" s="245" t="s">
        <v>621</v>
      </c>
      <c r="BC61" s="245" t="str">
        <f t="shared" si="29"/>
        <v>нд</v>
      </c>
      <c r="BD61" s="245">
        <v>0</v>
      </c>
      <c r="BE61" s="245">
        <v>0</v>
      </c>
      <c r="BF61" s="245" t="s">
        <v>621</v>
      </c>
      <c r="BG61" s="245" t="s">
        <v>621</v>
      </c>
      <c r="BH61" s="245" t="s">
        <v>621</v>
      </c>
      <c r="BI61" s="497" t="s">
        <v>621</v>
      </c>
      <c r="BJ61" s="512" t="s">
        <v>621</v>
      </c>
      <c r="BK61" s="500" t="s">
        <v>621</v>
      </c>
      <c r="BL61" s="245" t="s">
        <v>621</v>
      </c>
      <c r="BM61" s="245" t="s">
        <v>621</v>
      </c>
      <c r="BN61" s="350" t="s">
        <v>621</v>
      </c>
      <c r="BO61" s="245" t="s">
        <v>621</v>
      </c>
      <c r="BP61" s="245" t="s">
        <v>621</v>
      </c>
      <c r="BQ61" s="245" t="s">
        <v>621</v>
      </c>
      <c r="BR61" s="245" t="s">
        <v>621</v>
      </c>
      <c r="BS61" s="245" t="str">
        <f t="shared" si="30"/>
        <v>нд</v>
      </c>
      <c r="BT61" s="245" t="s">
        <v>621</v>
      </c>
      <c r="BU61" s="245" t="s">
        <v>621</v>
      </c>
      <c r="BV61" s="245" t="s">
        <v>621</v>
      </c>
      <c r="BW61" s="509" t="s">
        <v>621</v>
      </c>
      <c r="BX61" s="512" t="s">
        <v>621</v>
      </c>
      <c r="BY61" s="568" t="s">
        <v>621</v>
      </c>
      <c r="BZ61" s="245" t="s">
        <v>621</v>
      </c>
      <c r="CA61" s="245" t="s">
        <v>621</v>
      </c>
      <c r="CB61" s="262" t="s">
        <v>621</v>
      </c>
      <c r="CC61" s="245" t="s">
        <v>621</v>
      </c>
      <c r="CD61" s="497" t="s">
        <v>621</v>
      </c>
      <c r="CE61" s="245" t="s">
        <v>621</v>
      </c>
      <c r="CF61" s="246" t="str">
        <f t="shared" si="26"/>
        <v>нд</v>
      </c>
      <c r="CG61" s="245" t="s">
        <v>621</v>
      </c>
      <c r="CH61" s="245" t="s">
        <v>621</v>
      </c>
      <c r="CI61" s="245" t="s">
        <v>621</v>
      </c>
      <c r="CJ61" s="245" t="s">
        <v>621</v>
      </c>
      <c r="CK61" s="509" t="s">
        <v>621</v>
      </c>
      <c r="CL61" s="512" t="s">
        <v>621</v>
      </c>
      <c r="CM61" s="568">
        <v>8.82</v>
      </c>
      <c r="CN61" s="245">
        <v>1.26</v>
      </c>
      <c r="CO61" s="245" t="s">
        <v>621</v>
      </c>
      <c r="CP61" s="262" t="s">
        <v>621</v>
      </c>
      <c r="CQ61" s="245" t="s">
        <v>621</v>
      </c>
      <c r="CR61" s="245">
        <v>0</v>
      </c>
      <c r="CS61" s="512" t="s">
        <v>621</v>
      </c>
      <c r="CT61" s="246">
        <f>'3 (цены без НДС)'!P59</f>
        <v>0</v>
      </c>
      <c r="CU61" s="245">
        <v>0</v>
      </c>
      <c r="CV61" s="245" t="s">
        <v>621</v>
      </c>
      <c r="CW61" s="245" t="s">
        <v>621</v>
      </c>
      <c r="CX61" s="245" t="s">
        <v>621</v>
      </c>
      <c r="CY61" s="509">
        <f t="shared" si="32"/>
        <v>0</v>
      </c>
      <c r="CZ61" s="500" t="s">
        <v>621</v>
      </c>
    </row>
    <row r="62" spans="1:104" s="311" customFormat="1" ht="40.5" x14ac:dyDescent="0.3">
      <c r="A62" s="1035" t="s">
        <v>892</v>
      </c>
      <c r="B62" s="968" t="s">
        <v>873</v>
      </c>
      <c r="C62" s="972" t="s">
        <v>1064</v>
      </c>
      <c r="D62" s="246">
        <v>29.15</v>
      </c>
      <c r="E62" s="1003">
        <f>'3 (цены без НДС)'!P60</f>
        <v>24.33</v>
      </c>
      <c r="F62" s="512" t="s">
        <v>621</v>
      </c>
      <c r="G62" s="245" t="s">
        <v>621</v>
      </c>
      <c r="H62" s="245" t="s">
        <v>621</v>
      </c>
      <c r="I62" s="245" t="s">
        <v>621</v>
      </c>
      <c r="J62" s="245" t="s">
        <v>621</v>
      </c>
      <c r="K62" s="245" t="s">
        <v>621</v>
      </c>
      <c r="L62" s="245" t="s">
        <v>621</v>
      </c>
      <c r="M62" s="245" t="s">
        <v>621</v>
      </c>
      <c r="N62" s="245" t="s">
        <v>621</v>
      </c>
      <c r="O62" s="245" t="s">
        <v>621</v>
      </c>
      <c r="P62" s="245" t="s">
        <v>621</v>
      </c>
      <c r="Q62" s="245" t="s">
        <v>621</v>
      </c>
      <c r="R62" s="245" t="s">
        <v>621</v>
      </c>
      <c r="S62" s="509" t="s">
        <v>621</v>
      </c>
      <c r="T62" s="512" t="s">
        <v>621</v>
      </c>
      <c r="U62" s="245" t="s">
        <v>621</v>
      </c>
      <c r="V62" s="245" t="s">
        <v>621</v>
      </c>
      <c r="W62" s="245" t="s">
        <v>621</v>
      </c>
      <c r="X62" s="350" t="s">
        <v>621</v>
      </c>
      <c r="Y62" s="245" t="s">
        <v>621</v>
      </c>
      <c r="Z62" s="245" t="s">
        <v>621</v>
      </c>
      <c r="AA62" s="246" t="str">
        <f t="shared" si="27"/>
        <v>нд</v>
      </c>
      <c r="AB62" s="246" t="s">
        <v>621</v>
      </c>
      <c r="AC62" s="245" t="s">
        <v>621</v>
      </c>
      <c r="AD62" s="245" t="s">
        <v>621</v>
      </c>
      <c r="AE62" s="245" t="s">
        <v>621</v>
      </c>
      <c r="AF62" s="245" t="s">
        <v>621</v>
      </c>
      <c r="AG62" s="509" t="s">
        <v>621</v>
      </c>
      <c r="AH62" s="500" t="s">
        <v>621</v>
      </c>
      <c r="AI62" s="245">
        <v>0</v>
      </c>
      <c r="AJ62" s="245" t="s">
        <v>621</v>
      </c>
      <c r="AK62" s="245" t="s">
        <v>621</v>
      </c>
      <c r="AL62" s="245" t="s">
        <v>621</v>
      </c>
      <c r="AM62" s="245" t="s">
        <v>621</v>
      </c>
      <c r="AN62" s="245" t="s">
        <v>621</v>
      </c>
      <c r="AO62" s="245" t="str">
        <f t="shared" si="28"/>
        <v>нд</v>
      </c>
      <c r="AP62" s="245">
        <v>0</v>
      </c>
      <c r="AQ62" s="245" t="s">
        <v>621</v>
      </c>
      <c r="AR62" s="245" t="s">
        <v>621</v>
      </c>
      <c r="AS62" s="245" t="s">
        <v>621</v>
      </c>
      <c r="AT62" s="245" t="s">
        <v>621</v>
      </c>
      <c r="AU62" s="509" t="s">
        <v>621</v>
      </c>
      <c r="AV62" s="512" t="s">
        <v>621</v>
      </c>
      <c r="AW62" s="568">
        <v>29.15</v>
      </c>
      <c r="AX62" s="245" t="s">
        <v>621</v>
      </c>
      <c r="AY62" s="245" t="s">
        <v>621</v>
      </c>
      <c r="AZ62" s="350" t="s">
        <v>621</v>
      </c>
      <c r="BA62" s="245" t="s">
        <v>621</v>
      </c>
      <c r="BB62" s="245">
        <v>38</v>
      </c>
      <c r="BC62" s="245" t="str">
        <f t="shared" si="29"/>
        <v>нд</v>
      </c>
      <c r="BD62" s="245">
        <v>22.9</v>
      </c>
      <c r="BE62" s="245" t="s">
        <v>621</v>
      </c>
      <c r="BF62" s="245" t="s">
        <v>621</v>
      </c>
      <c r="BG62" s="245" t="s">
        <v>621</v>
      </c>
      <c r="BH62" s="245" t="s">
        <v>621</v>
      </c>
      <c r="BI62" s="497">
        <v>31</v>
      </c>
      <c r="BJ62" s="512" t="s">
        <v>621</v>
      </c>
      <c r="BK62" s="500" t="s">
        <v>621</v>
      </c>
      <c r="BL62" s="245" t="s">
        <v>621</v>
      </c>
      <c r="BM62" s="245" t="s">
        <v>621</v>
      </c>
      <c r="BN62" s="350" t="s">
        <v>621</v>
      </c>
      <c r="BO62" s="245" t="s">
        <v>621</v>
      </c>
      <c r="BP62" s="245" t="s">
        <v>621</v>
      </c>
      <c r="BQ62" s="245" t="s">
        <v>621</v>
      </c>
      <c r="BR62" s="245" t="s">
        <v>621</v>
      </c>
      <c r="BS62" s="245" t="str">
        <f t="shared" si="30"/>
        <v>нд</v>
      </c>
      <c r="BT62" s="245" t="s">
        <v>621</v>
      </c>
      <c r="BU62" s="245" t="s">
        <v>621</v>
      </c>
      <c r="BV62" s="245" t="s">
        <v>621</v>
      </c>
      <c r="BW62" s="509" t="s">
        <v>621</v>
      </c>
      <c r="BX62" s="512" t="s">
        <v>621</v>
      </c>
      <c r="BY62" s="568" t="s">
        <v>621</v>
      </c>
      <c r="BZ62" s="245" t="s">
        <v>621</v>
      </c>
      <c r="CA62" s="245" t="s">
        <v>621</v>
      </c>
      <c r="CB62" s="262" t="s">
        <v>621</v>
      </c>
      <c r="CC62" s="245" t="s">
        <v>621</v>
      </c>
      <c r="CD62" s="497" t="s">
        <v>621</v>
      </c>
      <c r="CE62" s="245" t="s">
        <v>621</v>
      </c>
      <c r="CF62" s="246" t="str">
        <f t="shared" si="26"/>
        <v>нд</v>
      </c>
      <c r="CG62" s="245" t="s">
        <v>621</v>
      </c>
      <c r="CH62" s="245" t="s">
        <v>621</v>
      </c>
      <c r="CI62" s="245" t="s">
        <v>621</v>
      </c>
      <c r="CJ62" s="245" t="s">
        <v>621</v>
      </c>
      <c r="CK62" s="509" t="s">
        <v>621</v>
      </c>
      <c r="CL62" s="512" t="s">
        <v>621</v>
      </c>
      <c r="CM62" s="568">
        <v>29.15</v>
      </c>
      <c r="CN62" s="245">
        <v>0</v>
      </c>
      <c r="CO62" s="245" t="s">
        <v>621</v>
      </c>
      <c r="CP62" s="262" t="s">
        <v>621</v>
      </c>
      <c r="CQ62" s="245" t="s">
        <v>621</v>
      </c>
      <c r="CR62" s="245">
        <v>38</v>
      </c>
      <c r="CS62" s="512" t="s">
        <v>621</v>
      </c>
      <c r="CT62" s="246">
        <f>'3 (цены без НДС)'!P60</f>
        <v>24.33</v>
      </c>
      <c r="CU62" s="245">
        <f t="shared" si="31"/>
        <v>0</v>
      </c>
      <c r="CV62" s="245" t="s">
        <v>621</v>
      </c>
      <c r="CW62" s="245" t="s">
        <v>621</v>
      </c>
      <c r="CX62" s="245" t="s">
        <v>621</v>
      </c>
      <c r="CY62" s="509">
        <v>31</v>
      </c>
      <c r="CZ62" s="500" t="s">
        <v>621</v>
      </c>
    </row>
    <row r="63" spans="1:104" s="311" customFormat="1" ht="30.75" x14ac:dyDescent="0.3">
      <c r="A63" s="1035" t="s">
        <v>893</v>
      </c>
      <c r="B63" s="968" t="s">
        <v>877</v>
      </c>
      <c r="C63" s="972" t="s">
        <v>1065</v>
      </c>
      <c r="D63" s="246">
        <v>1.26</v>
      </c>
      <c r="E63" s="1003">
        <f>'3 (цены без НДС)'!P61</f>
        <v>1.35</v>
      </c>
      <c r="F63" s="512" t="s">
        <v>621</v>
      </c>
      <c r="G63" s="245" t="s">
        <v>621</v>
      </c>
      <c r="H63" s="245" t="s">
        <v>621</v>
      </c>
      <c r="I63" s="245" t="s">
        <v>621</v>
      </c>
      <c r="J63" s="245" t="s">
        <v>621</v>
      </c>
      <c r="K63" s="245" t="s">
        <v>621</v>
      </c>
      <c r="L63" s="245" t="s">
        <v>621</v>
      </c>
      <c r="M63" s="245" t="s">
        <v>621</v>
      </c>
      <c r="N63" s="245" t="s">
        <v>621</v>
      </c>
      <c r="O63" s="245" t="s">
        <v>621</v>
      </c>
      <c r="P63" s="245" t="s">
        <v>621</v>
      </c>
      <c r="Q63" s="245" t="s">
        <v>621</v>
      </c>
      <c r="R63" s="245" t="s">
        <v>621</v>
      </c>
      <c r="S63" s="509" t="s">
        <v>621</v>
      </c>
      <c r="T63" s="512" t="s">
        <v>621</v>
      </c>
      <c r="U63" s="245" t="s">
        <v>621</v>
      </c>
      <c r="V63" s="245" t="s">
        <v>621</v>
      </c>
      <c r="W63" s="245" t="s">
        <v>621</v>
      </c>
      <c r="X63" s="350" t="s">
        <v>621</v>
      </c>
      <c r="Y63" s="245" t="s">
        <v>621</v>
      </c>
      <c r="Z63" s="245" t="s">
        <v>621</v>
      </c>
      <c r="AA63" s="246" t="str">
        <f t="shared" si="27"/>
        <v>нд</v>
      </c>
      <c r="AB63" s="246" t="s">
        <v>621</v>
      </c>
      <c r="AC63" s="245" t="s">
        <v>621</v>
      </c>
      <c r="AD63" s="245" t="s">
        <v>621</v>
      </c>
      <c r="AE63" s="245" t="s">
        <v>621</v>
      </c>
      <c r="AF63" s="245" t="s">
        <v>621</v>
      </c>
      <c r="AG63" s="509" t="s">
        <v>621</v>
      </c>
      <c r="AH63" s="500" t="s">
        <v>621</v>
      </c>
      <c r="AI63" s="245">
        <v>0</v>
      </c>
      <c r="AJ63" s="245" t="s">
        <v>621</v>
      </c>
      <c r="AK63" s="245" t="s">
        <v>621</v>
      </c>
      <c r="AL63" s="245" t="s">
        <v>621</v>
      </c>
      <c r="AM63" s="245" t="s">
        <v>621</v>
      </c>
      <c r="AN63" s="245" t="s">
        <v>621</v>
      </c>
      <c r="AO63" s="245" t="str">
        <f t="shared" si="28"/>
        <v>нд</v>
      </c>
      <c r="AP63" s="245">
        <v>0</v>
      </c>
      <c r="AQ63" s="245" t="s">
        <v>621</v>
      </c>
      <c r="AR63" s="245" t="s">
        <v>621</v>
      </c>
      <c r="AS63" s="245" t="s">
        <v>621</v>
      </c>
      <c r="AT63" s="245" t="s">
        <v>621</v>
      </c>
      <c r="AU63" s="509" t="s">
        <v>621</v>
      </c>
      <c r="AV63" s="512" t="s">
        <v>621</v>
      </c>
      <c r="AW63" s="500" t="s">
        <v>621</v>
      </c>
      <c r="AX63" s="245" t="s">
        <v>621</v>
      </c>
      <c r="AY63" s="245" t="s">
        <v>621</v>
      </c>
      <c r="AZ63" s="350" t="s">
        <v>621</v>
      </c>
      <c r="BA63" s="245" t="s">
        <v>621</v>
      </c>
      <c r="BB63" s="245" t="s">
        <v>621</v>
      </c>
      <c r="BC63" s="245" t="str">
        <f t="shared" si="29"/>
        <v>нд</v>
      </c>
      <c r="BD63" s="245" t="s">
        <v>621</v>
      </c>
      <c r="BE63" s="245" t="s">
        <v>621</v>
      </c>
      <c r="BF63" s="245" t="s">
        <v>621</v>
      </c>
      <c r="BG63" s="245" t="s">
        <v>621</v>
      </c>
      <c r="BH63" s="245" t="s">
        <v>621</v>
      </c>
      <c r="BI63" s="497" t="s">
        <v>621</v>
      </c>
      <c r="BJ63" s="512" t="s">
        <v>621</v>
      </c>
      <c r="BK63" s="568">
        <v>1.26</v>
      </c>
      <c r="BL63" s="245">
        <v>1.26</v>
      </c>
      <c r="BM63" s="245" t="s">
        <v>621</v>
      </c>
      <c r="BN63" s="350" t="s">
        <v>621</v>
      </c>
      <c r="BO63" s="245" t="s">
        <v>621</v>
      </c>
      <c r="BP63" s="245" t="s">
        <v>621</v>
      </c>
      <c r="BQ63" s="245" t="s">
        <v>621</v>
      </c>
      <c r="BR63" s="245">
        <f t="shared" ref="BR63:BR69" si="33">BK63</f>
        <v>1.26</v>
      </c>
      <c r="BS63" s="245">
        <f t="shared" si="30"/>
        <v>1.26</v>
      </c>
      <c r="BT63" s="245" t="s">
        <v>621</v>
      </c>
      <c r="BU63" s="245" t="s">
        <v>621</v>
      </c>
      <c r="BV63" s="245" t="s">
        <v>621</v>
      </c>
      <c r="BW63" s="509" t="s">
        <v>621</v>
      </c>
      <c r="BX63" s="512" t="s">
        <v>621</v>
      </c>
      <c r="BY63" s="568" t="s">
        <v>621</v>
      </c>
      <c r="BZ63" s="245" t="s">
        <v>621</v>
      </c>
      <c r="CA63" s="245" t="s">
        <v>621</v>
      </c>
      <c r="CB63" s="262" t="s">
        <v>621</v>
      </c>
      <c r="CC63" s="245" t="s">
        <v>621</v>
      </c>
      <c r="CD63" s="497" t="s">
        <v>621</v>
      </c>
      <c r="CE63" s="245" t="s">
        <v>621</v>
      </c>
      <c r="CF63" s="246" t="str">
        <f t="shared" si="26"/>
        <v>нд</v>
      </c>
      <c r="CG63" s="245" t="s">
        <v>621</v>
      </c>
      <c r="CH63" s="245" t="s">
        <v>621</v>
      </c>
      <c r="CI63" s="245" t="s">
        <v>621</v>
      </c>
      <c r="CJ63" s="245" t="s">
        <v>621</v>
      </c>
      <c r="CK63" s="509" t="s">
        <v>621</v>
      </c>
      <c r="CL63" s="512" t="s">
        <v>621</v>
      </c>
      <c r="CM63" s="568">
        <v>1.26</v>
      </c>
      <c r="CN63" s="246">
        <v>1.26</v>
      </c>
      <c r="CO63" s="245" t="s">
        <v>621</v>
      </c>
      <c r="CP63" s="262" t="s">
        <v>621</v>
      </c>
      <c r="CQ63" s="245" t="s">
        <v>621</v>
      </c>
      <c r="CR63" s="245">
        <v>0</v>
      </c>
      <c r="CS63" s="512" t="s">
        <v>621</v>
      </c>
      <c r="CT63" s="246">
        <f>'3 (цены без НДС)'!P61</f>
        <v>1.35</v>
      </c>
      <c r="CU63" s="245">
        <f t="shared" si="31"/>
        <v>1.26</v>
      </c>
      <c r="CV63" s="245" t="s">
        <v>621</v>
      </c>
      <c r="CW63" s="245" t="s">
        <v>621</v>
      </c>
      <c r="CX63" s="245" t="s">
        <v>621</v>
      </c>
      <c r="CY63" s="509">
        <f t="shared" si="32"/>
        <v>0</v>
      </c>
      <c r="CZ63" s="500" t="s">
        <v>621</v>
      </c>
    </row>
    <row r="64" spans="1:104" s="311" customFormat="1" ht="30.75" x14ac:dyDescent="0.3">
      <c r="A64" s="1035" t="s">
        <v>894</v>
      </c>
      <c r="B64" s="968" t="s">
        <v>878</v>
      </c>
      <c r="C64" s="972" t="s">
        <v>1066</v>
      </c>
      <c r="D64" s="246">
        <v>1.1599999999999999</v>
      </c>
      <c r="E64" s="1003">
        <f>'3 (цены без НДС)'!P62</f>
        <v>1.23</v>
      </c>
      <c r="F64" s="512" t="s">
        <v>621</v>
      </c>
      <c r="G64" s="245" t="s">
        <v>621</v>
      </c>
      <c r="H64" s="245" t="s">
        <v>621</v>
      </c>
      <c r="I64" s="245" t="s">
        <v>621</v>
      </c>
      <c r="J64" s="245" t="s">
        <v>621</v>
      </c>
      <c r="K64" s="245" t="s">
        <v>621</v>
      </c>
      <c r="L64" s="245" t="s">
        <v>621</v>
      </c>
      <c r="M64" s="245" t="s">
        <v>621</v>
      </c>
      <c r="N64" s="245" t="s">
        <v>621</v>
      </c>
      <c r="O64" s="245" t="s">
        <v>621</v>
      </c>
      <c r="P64" s="245" t="s">
        <v>621</v>
      </c>
      <c r="Q64" s="245" t="s">
        <v>621</v>
      </c>
      <c r="R64" s="245" t="s">
        <v>621</v>
      </c>
      <c r="S64" s="509" t="s">
        <v>621</v>
      </c>
      <c r="T64" s="512" t="s">
        <v>621</v>
      </c>
      <c r="U64" s="245" t="s">
        <v>621</v>
      </c>
      <c r="V64" s="245" t="s">
        <v>621</v>
      </c>
      <c r="W64" s="245" t="s">
        <v>621</v>
      </c>
      <c r="X64" s="350" t="s">
        <v>621</v>
      </c>
      <c r="Y64" s="245" t="s">
        <v>621</v>
      </c>
      <c r="Z64" s="245" t="s">
        <v>621</v>
      </c>
      <c r="AA64" s="246" t="str">
        <f t="shared" si="27"/>
        <v>нд</v>
      </c>
      <c r="AB64" s="246" t="s">
        <v>621</v>
      </c>
      <c r="AC64" s="245" t="s">
        <v>621</v>
      </c>
      <c r="AD64" s="245" t="s">
        <v>621</v>
      </c>
      <c r="AE64" s="245" t="s">
        <v>621</v>
      </c>
      <c r="AF64" s="245" t="s">
        <v>621</v>
      </c>
      <c r="AG64" s="509" t="s">
        <v>621</v>
      </c>
      <c r="AH64" s="500" t="s">
        <v>621</v>
      </c>
      <c r="AI64" s="245">
        <v>0</v>
      </c>
      <c r="AJ64" s="245" t="s">
        <v>621</v>
      </c>
      <c r="AK64" s="245" t="s">
        <v>621</v>
      </c>
      <c r="AL64" s="245" t="s">
        <v>621</v>
      </c>
      <c r="AM64" s="245" t="s">
        <v>621</v>
      </c>
      <c r="AN64" s="245" t="s">
        <v>621</v>
      </c>
      <c r="AO64" s="245" t="str">
        <f t="shared" si="28"/>
        <v>нд</v>
      </c>
      <c r="AP64" s="245">
        <v>0</v>
      </c>
      <c r="AQ64" s="245" t="s">
        <v>621</v>
      </c>
      <c r="AR64" s="245" t="s">
        <v>621</v>
      </c>
      <c r="AS64" s="245" t="s">
        <v>621</v>
      </c>
      <c r="AT64" s="245" t="s">
        <v>621</v>
      </c>
      <c r="AU64" s="509" t="s">
        <v>621</v>
      </c>
      <c r="AV64" s="512" t="s">
        <v>621</v>
      </c>
      <c r="AW64" s="500" t="s">
        <v>621</v>
      </c>
      <c r="AX64" s="245" t="s">
        <v>621</v>
      </c>
      <c r="AY64" s="245" t="s">
        <v>621</v>
      </c>
      <c r="AZ64" s="350" t="s">
        <v>621</v>
      </c>
      <c r="BA64" s="245" t="s">
        <v>621</v>
      </c>
      <c r="BB64" s="245" t="s">
        <v>621</v>
      </c>
      <c r="BC64" s="245" t="str">
        <f t="shared" si="29"/>
        <v>нд</v>
      </c>
      <c r="BD64" s="245" t="s">
        <v>621</v>
      </c>
      <c r="BE64" s="245" t="s">
        <v>621</v>
      </c>
      <c r="BF64" s="245" t="s">
        <v>621</v>
      </c>
      <c r="BG64" s="245" t="s">
        <v>621</v>
      </c>
      <c r="BH64" s="245" t="s">
        <v>621</v>
      </c>
      <c r="BI64" s="497" t="s">
        <v>621</v>
      </c>
      <c r="BJ64" s="512" t="s">
        <v>621</v>
      </c>
      <c r="BK64" s="568">
        <v>1.1599999999999999</v>
      </c>
      <c r="BL64" s="245">
        <v>1.03</v>
      </c>
      <c r="BM64" s="245" t="s">
        <v>621</v>
      </c>
      <c r="BN64" s="350" t="s">
        <v>621</v>
      </c>
      <c r="BO64" s="245" t="s">
        <v>621</v>
      </c>
      <c r="BP64" s="245" t="s">
        <v>621</v>
      </c>
      <c r="BQ64" s="245" t="s">
        <v>621</v>
      </c>
      <c r="BR64" s="245">
        <f t="shared" si="33"/>
        <v>1.1599999999999999</v>
      </c>
      <c r="BS64" s="245">
        <f t="shared" si="30"/>
        <v>1.03</v>
      </c>
      <c r="BT64" s="245" t="s">
        <v>621</v>
      </c>
      <c r="BU64" s="245" t="s">
        <v>621</v>
      </c>
      <c r="BV64" s="245" t="s">
        <v>621</v>
      </c>
      <c r="BW64" s="509" t="s">
        <v>621</v>
      </c>
      <c r="BX64" s="512" t="s">
        <v>621</v>
      </c>
      <c r="BY64" s="568" t="s">
        <v>621</v>
      </c>
      <c r="BZ64" s="245" t="s">
        <v>621</v>
      </c>
      <c r="CA64" s="245" t="s">
        <v>621</v>
      </c>
      <c r="CB64" s="262" t="s">
        <v>621</v>
      </c>
      <c r="CC64" s="245" t="s">
        <v>621</v>
      </c>
      <c r="CD64" s="497" t="s">
        <v>621</v>
      </c>
      <c r="CE64" s="245" t="s">
        <v>621</v>
      </c>
      <c r="CF64" s="246" t="str">
        <f t="shared" si="26"/>
        <v>нд</v>
      </c>
      <c r="CG64" s="245" t="s">
        <v>621</v>
      </c>
      <c r="CH64" s="245" t="s">
        <v>621</v>
      </c>
      <c r="CI64" s="245" t="s">
        <v>621</v>
      </c>
      <c r="CJ64" s="245" t="s">
        <v>621</v>
      </c>
      <c r="CK64" s="509" t="s">
        <v>621</v>
      </c>
      <c r="CL64" s="512" t="s">
        <v>621</v>
      </c>
      <c r="CM64" s="568">
        <v>1.1599999999999999</v>
      </c>
      <c r="CN64" s="246">
        <v>1.03</v>
      </c>
      <c r="CO64" s="245" t="s">
        <v>621</v>
      </c>
      <c r="CP64" s="262" t="s">
        <v>621</v>
      </c>
      <c r="CQ64" s="245" t="s">
        <v>621</v>
      </c>
      <c r="CR64" s="245">
        <v>0</v>
      </c>
      <c r="CS64" s="512" t="s">
        <v>621</v>
      </c>
      <c r="CT64" s="246">
        <f>'3 (цены без НДС)'!P62</f>
        <v>1.23</v>
      </c>
      <c r="CU64" s="245">
        <f t="shared" si="31"/>
        <v>1.03</v>
      </c>
      <c r="CV64" s="245" t="s">
        <v>621</v>
      </c>
      <c r="CW64" s="245" t="s">
        <v>621</v>
      </c>
      <c r="CX64" s="245" t="s">
        <v>621</v>
      </c>
      <c r="CY64" s="509">
        <f t="shared" si="32"/>
        <v>0</v>
      </c>
      <c r="CZ64" s="500" t="s">
        <v>621</v>
      </c>
    </row>
    <row r="65" spans="1:105" s="311" customFormat="1" ht="30.75" x14ac:dyDescent="0.3">
      <c r="A65" s="1035" t="s">
        <v>895</v>
      </c>
      <c r="B65" s="968" t="s">
        <v>879</v>
      </c>
      <c r="C65" s="972" t="s">
        <v>1067</v>
      </c>
      <c r="D65" s="246">
        <v>0.74</v>
      </c>
      <c r="E65" s="1003">
        <f>'3 (цены без НДС)'!P63</f>
        <v>0.79</v>
      </c>
      <c r="F65" s="512" t="s">
        <v>621</v>
      </c>
      <c r="G65" s="245" t="s">
        <v>621</v>
      </c>
      <c r="H65" s="245" t="s">
        <v>621</v>
      </c>
      <c r="I65" s="245" t="s">
        <v>621</v>
      </c>
      <c r="J65" s="245" t="s">
        <v>621</v>
      </c>
      <c r="K65" s="245" t="s">
        <v>621</v>
      </c>
      <c r="L65" s="245" t="s">
        <v>621</v>
      </c>
      <c r="M65" s="245" t="s">
        <v>621</v>
      </c>
      <c r="N65" s="245" t="s">
        <v>621</v>
      </c>
      <c r="O65" s="245" t="s">
        <v>621</v>
      </c>
      <c r="P65" s="245" t="s">
        <v>621</v>
      </c>
      <c r="Q65" s="245" t="s">
        <v>621</v>
      </c>
      <c r="R65" s="245" t="s">
        <v>621</v>
      </c>
      <c r="S65" s="509" t="s">
        <v>621</v>
      </c>
      <c r="T65" s="512" t="s">
        <v>621</v>
      </c>
      <c r="U65" s="245" t="s">
        <v>621</v>
      </c>
      <c r="V65" s="245" t="s">
        <v>621</v>
      </c>
      <c r="W65" s="245" t="s">
        <v>621</v>
      </c>
      <c r="X65" s="350" t="s">
        <v>621</v>
      </c>
      <c r="Y65" s="245" t="s">
        <v>621</v>
      </c>
      <c r="Z65" s="245" t="s">
        <v>621</v>
      </c>
      <c r="AA65" s="246" t="str">
        <f t="shared" si="27"/>
        <v>нд</v>
      </c>
      <c r="AB65" s="246" t="s">
        <v>621</v>
      </c>
      <c r="AC65" s="245" t="s">
        <v>621</v>
      </c>
      <c r="AD65" s="245" t="s">
        <v>621</v>
      </c>
      <c r="AE65" s="245" t="s">
        <v>621</v>
      </c>
      <c r="AF65" s="245" t="s">
        <v>621</v>
      </c>
      <c r="AG65" s="509" t="s">
        <v>621</v>
      </c>
      <c r="AH65" s="500" t="s">
        <v>621</v>
      </c>
      <c r="AI65" s="245">
        <v>0</v>
      </c>
      <c r="AJ65" s="245" t="s">
        <v>621</v>
      </c>
      <c r="AK65" s="245" t="s">
        <v>621</v>
      </c>
      <c r="AL65" s="245" t="s">
        <v>621</v>
      </c>
      <c r="AM65" s="245" t="s">
        <v>621</v>
      </c>
      <c r="AN65" s="245" t="s">
        <v>621</v>
      </c>
      <c r="AO65" s="245" t="str">
        <f t="shared" si="28"/>
        <v>нд</v>
      </c>
      <c r="AP65" s="245">
        <v>0</v>
      </c>
      <c r="AQ65" s="245" t="s">
        <v>621</v>
      </c>
      <c r="AR65" s="245" t="s">
        <v>621</v>
      </c>
      <c r="AS65" s="245" t="s">
        <v>621</v>
      </c>
      <c r="AT65" s="245" t="s">
        <v>621</v>
      </c>
      <c r="AU65" s="509" t="s">
        <v>621</v>
      </c>
      <c r="AV65" s="512" t="s">
        <v>621</v>
      </c>
      <c r="AW65" s="500" t="s">
        <v>621</v>
      </c>
      <c r="AX65" s="245" t="s">
        <v>621</v>
      </c>
      <c r="AY65" s="245" t="s">
        <v>621</v>
      </c>
      <c r="AZ65" s="350" t="s">
        <v>621</v>
      </c>
      <c r="BA65" s="245" t="s">
        <v>621</v>
      </c>
      <c r="BB65" s="245" t="s">
        <v>621</v>
      </c>
      <c r="BC65" s="245" t="str">
        <f t="shared" si="29"/>
        <v>нд</v>
      </c>
      <c r="BD65" s="245" t="s">
        <v>621</v>
      </c>
      <c r="BE65" s="245" t="s">
        <v>621</v>
      </c>
      <c r="BF65" s="245" t="s">
        <v>621</v>
      </c>
      <c r="BG65" s="245" t="s">
        <v>621</v>
      </c>
      <c r="BH65" s="245" t="s">
        <v>621</v>
      </c>
      <c r="BI65" s="497" t="s">
        <v>621</v>
      </c>
      <c r="BJ65" s="512" t="s">
        <v>621</v>
      </c>
      <c r="BK65" s="568">
        <v>0.74</v>
      </c>
      <c r="BL65" s="245">
        <v>0.63</v>
      </c>
      <c r="BM65" s="245" t="s">
        <v>621</v>
      </c>
      <c r="BN65" s="350" t="s">
        <v>621</v>
      </c>
      <c r="BO65" s="245" t="s">
        <v>621</v>
      </c>
      <c r="BP65" s="245" t="s">
        <v>621</v>
      </c>
      <c r="BQ65" s="245" t="s">
        <v>621</v>
      </c>
      <c r="BR65" s="245">
        <f t="shared" si="33"/>
        <v>0.74</v>
      </c>
      <c r="BS65" s="245">
        <f t="shared" si="30"/>
        <v>0.63</v>
      </c>
      <c r="BT65" s="245" t="s">
        <v>621</v>
      </c>
      <c r="BU65" s="245" t="s">
        <v>621</v>
      </c>
      <c r="BV65" s="245" t="s">
        <v>621</v>
      </c>
      <c r="BW65" s="509" t="s">
        <v>621</v>
      </c>
      <c r="BX65" s="512" t="s">
        <v>621</v>
      </c>
      <c r="BY65" s="568" t="s">
        <v>621</v>
      </c>
      <c r="BZ65" s="245" t="s">
        <v>621</v>
      </c>
      <c r="CA65" s="245" t="s">
        <v>621</v>
      </c>
      <c r="CB65" s="262" t="s">
        <v>621</v>
      </c>
      <c r="CC65" s="245" t="s">
        <v>621</v>
      </c>
      <c r="CD65" s="497" t="s">
        <v>621</v>
      </c>
      <c r="CE65" s="245" t="s">
        <v>621</v>
      </c>
      <c r="CF65" s="246" t="str">
        <f t="shared" si="26"/>
        <v>нд</v>
      </c>
      <c r="CG65" s="245" t="s">
        <v>621</v>
      </c>
      <c r="CH65" s="245" t="s">
        <v>621</v>
      </c>
      <c r="CI65" s="245" t="s">
        <v>621</v>
      </c>
      <c r="CJ65" s="245" t="s">
        <v>621</v>
      </c>
      <c r="CK65" s="509" t="s">
        <v>621</v>
      </c>
      <c r="CL65" s="512" t="s">
        <v>621</v>
      </c>
      <c r="CM65" s="568">
        <v>0.74</v>
      </c>
      <c r="CN65" s="246">
        <v>0.63</v>
      </c>
      <c r="CO65" s="245" t="s">
        <v>621</v>
      </c>
      <c r="CP65" s="262" t="s">
        <v>621</v>
      </c>
      <c r="CQ65" s="245" t="s">
        <v>621</v>
      </c>
      <c r="CR65" s="245">
        <v>0</v>
      </c>
      <c r="CS65" s="512" t="s">
        <v>621</v>
      </c>
      <c r="CT65" s="246">
        <f>'3 (цены без НДС)'!P63</f>
        <v>0.79</v>
      </c>
      <c r="CU65" s="245">
        <f t="shared" si="31"/>
        <v>0.63</v>
      </c>
      <c r="CV65" s="245" t="s">
        <v>621</v>
      </c>
      <c r="CW65" s="245" t="s">
        <v>621</v>
      </c>
      <c r="CX65" s="245" t="s">
        <v>621</v>
      </c>
      <c r="CY65" s="509">
        <f t="shared" si="32"/>
        <v>0</v>
      </c>
      <c r="CZ65" s="500" t="s">
        <v>621</v>
      </c>
    </row>
    <row r="66" spans="1:105" s="311" customFormat="1" ht="30.75" x14ac:dyDescent="0.3">
      <c r="A66" s="1035" t="s">
        <v>896</v>
      </c>
      <c r="B66" s="968" t="s">
        <v>880</v>
      </c>
      <c r="C66" s="972" t="s">
        <v>1068</v>
      </c>
      <c r="D66" s="246">
        <v>0.74</v>
      </c>
      <c r="E66" s="1003">
        <f>'3 (цены без НДС)'!P64</f>
        <v>0.79</v>
      </c>
      <c r="F66" s="512" t="s">
        <v>621</v>
      </c>
      <c r="G66" s="245" t="s">
        <v>621</v>
      </c>
      <c r="H66" s="245" t="s">
        <v>621</v>
      </c>
      <c r="I66" s="245" t="s">
        <v>621</v>
      </c>
      <c r="J66" s="245" t="s">
        <v>621</v>
      </c>
      <c r="K66" s="245" t="s">
        <v>621</v>
      </c>
      <c r="L66" s="245" t="s">
        <v>621</v>
      </c>
      <c r="M66" s="245" t="s">
        <v>621</v>
      </c>
      <c r="N66" s="245" t="s">
        <v>621</v>
      </c>
      <c r="O66" s="245" t="s">
        <v>621</v>
      </c>
      <c r="P66" s="245" t="s">
        <v>621</v>
      </c>
      <c r="Q66" s="245" t="s">
        <v>621</v>
      </c>
      <c r="R66" s="245" t="s">
        <v>621</v>
      </c>
      <c r="S66" s="509" t="s">
        <v>621</v>
      </c>
      <c r="T66" s="512" t="s">
        <v>621</v>
      </c>
      <c r="U66" s="245" t="s">
        <v>621</v>
      </c>
      <c r="V66" s="245" t="s">
        <v>621</v>
      </c>
      <c r="W66" s="245" t="s">
        <v>621</v>
      </c>
      <c r="X66" s="350" t="s">
        <v>621</v>
      </c>
      <c r="Y66" s="245" t="s">
        <v>621</v>
      </c>
      <c r="Z66" s="245" t="s">
        <v>621</v>
      </c>
      <c r="AA66" s="246" t="str">
        <f t="shared" si="27"/>
        <v>нд</v>
      </c>
      <c r="AB66" s="246" t="s">
        <v>621</v>
      </c>
      <c r="AC66" s="245" t="s">
        <v>621</v>
      </c>
      <c r="AD66" s="245" t="s">
        <v>621</v>
      </c>
      <c r="AE66" s="245" t="s">
        <v>621</v>
      </c>
      <c r="AF66" s="245" t="s">
        <v>621</v>
      </c>
      <c r="AG66" s="509" t="s">
        <v>621</v>
      </c>
      <c r="AH66" s="500" t="s">
        <v>621</v>
      </c>
      <c r="AI66" s="245">
        <v>0</v>
      </c>
      <c r="AJ66" s="245" t="s">
        <v>621</v>
      </c>
      <c r="AK66" s="245" t="s">
        <v>621</v>
      </c>
      <c r="AL66" s="245" t="s">
        <v>621</v>
      </c>
      <c r="AM66" s="245" t="s">
        <v>621</v>
      </c>
      <c r="AN66" s="245" t="s">
        <v>621</v>
      </c>
      <c r="AO66" s="245" t="str">
        <f t="shared" si="28"/>
        <v>нд</v>
      </c>
      <c r="AP66" s="245">
        <v>0</v>
      </c>
      <c r="AQ66" s="245" t="s">
        <v>621</v>
      </c>
      <c r="AR66" s="245" t="s">
        <v>621</v>
      </c>
      <c r="AS66" s="245" t="s">
        <v>621</v>
      </c>
      <c r="AT66" s="245" t="s">
        <v>621</v>
      </c>
      <c r="AU66" s="509" t="s">
        <v>621</v>
      </c>
      <c r="AV66" s="512" t="s">
        <v>621</v>
      </c>
      <c r="AW66" s="500" t="s">
        <v>621</v>
      </c>
      <c r="AX66" s="245" t="s">
        <v>621</v>
      </c>
      <c r="AY66" s="245" t="s">
        <v>621</v>
      </c>
      <c r="AZ66" s="350" t="s">
        <v>621</v>
      </c>
      <c r="BA66" s="245" t="s">
        <v>621</v>
      </c>
      <c r="BB66" s="245" t="s">
        <v>621</v>
      </c>
      <c r="BC66" s="245" t="str">
        <f t="shared" si="29"/>
        <v>нд</v>
      </c>
      <c r="BD66" s="245" t="s">
        <v>621</v>
      </c>
      <c r="BE66" s="245" t="s">
        <v>621</v>
      </c>
      <c r="BF66" s="245" t="s">
        <v>621</v>
      </c>
      <c r="BG66" s="245" t="s">
        <v>621</v>
      </c>
      <c r="BH66" s="245" t="s">
        <v>621</v>
      </c>
      <c r="BI66" s="497" t="s">
        <v>621</v>
      </c>
      <c r="BJ66" s="512" t="s">
        <v>621</v>
      </c>
      <c r="BK66" s="568">
        <v>0.74</v>
      </c>
      <c r="BL66" s="245">
        <v>0.63</v>
      </c>
      <c r="BM66" s="245" t="s">
        <v>621</v>
      </c>
      <c r="BN66" s="350" t="s">
        <v>621</v>
      </c>
      <c r="BO66" s="245" t="s">
        <v>621</v>
      </c>
      <c r="BP66" s="245" t="s">
        <v>621</v>
      </c>
      <c r="BQ66" s="245" t="s">
        <v>621</v>
      </c>
      <c r="BR66" s="245">
        <f t="shared" si="33"/>
        <v>0.74</v>
      </c>
      <c r="BS66" s="245">
        <f t="shared" si="30"/>
        <v>0.63</v>
      </c>
      <c r="BT66" s="245" t="s">
        <v>621</v>
      </c>
      <c r="BU66" s="245" t="s">
        <v>621</v>
      </c>
      <c r="BV66" s="245" t="s">
        <v>621</v>
      </c>
      <c r="BW66" s="509" t="s">
        <v>621</v>
      </c>
      <c r="BX66" s="512" t="s">
        <v>621</v>
      </c>
      <c r="BY66" s="568" t="s">
        <v>621</v>
      </c>
      <c r="BZ66" s="245" t="s">
        <v>621</v>
      </c>
      <c r="CA66" s="245" t="s">
        <v>621</v>
      </c>
      <c r="CB66" s="262" t="s">
        <v>621</v>
      </c>
      <c r="CC66" s="245" t="s">
        <v>621</v>
      </c>
      <c r="CD66" s="497" t="s">
        <v>621</v>
      </c>
      <c r="CE66" s="245" t="s">
        <v>621</v>
      </c>
      <c r="CF66" s="246" t="str">
        <f t="shared" si="26"/>
        <v>нд</v>
      </c>
      <c r="CG66" s="245" t="s">
        <v>621</v>
      </c>
      <c r="CH66" s="245" t="s">
        <v>621</v>
      </c>
      <c r="CI66" s="245" t="s">
        <v>621</v>
      </c>
      <c r="CJ66" s="245" t="s">
        <v>621</v>
      </c>
      <c r="CK66" s="509" t="s">
        <v>621</v>
      </c>
      <c r="CL66" s="512" t="s">
        <v>621</v>
      </c>
      <c r="CM66" s="568">
        <v>0.74</v>
      </c>
      <c r="CN66" s="246">
        <v>0.63</v>
      </c>
      <c r="CO66" s="245" t="s">
        <v>621</v>
      </c>
      <c r="CP66" s="262" t="s">
        <v>621</v>
      </c>
      <c r="CQ66" s="245" t="s">
        <v>621</v>
      </c>
      <c r="CR66" s="245">
        <v>0</v>
      </c>
      <c r="CS66" s="512" t="s">
        <v>621</v>
      </c>
      <c r="CT66" s="246">
        <f>'3 (цены без НДС)'!P64</f>
        <v>0.79</v>
      </c>
      <c r="CU66" s="245">
        <f t="shared" si="31"/>
        <v>0.63</v>
      </c>
      <c r="CV66" s="245" t="s">
        <v>621</v>
      </c>
      <c r="CW66" s="245" t="s">
        <v>621</v>
      </c>
      <c r="CX66" s="245" t="s">
        <v>621</v>
      </c>
      <c r="CY66" s="509">
        <f t="shared" si="32"/>
        <v>0</v>
      </c>
      <c r="CZ66" s="500" t="s">
        <v>621</v>
      </c>
    </row>
    <row r="67" spans="1:105" s="311" customFormat="1" ht="30.75" x14ac:dyDescent="0.3">
      <c r="A67" s="1035" t="s">
        <v>897</v>
      </c>
      <c r="B67" s="968" t="s">
        <v>881</v>
      </c>
      <c r="C67" s="972" t="s">
        <v>1069</v>
      </c>
      <c r="D67" s="246">
        <v>1.07</v>
      </c>
      <c r="E67" s="1003">
        <f>'3 (цены без НДС)'!P65</f>
        <v>1.1399999999999999</v>
      </c>
      <c r="F67" s="512" t="s">
        <v>621</v>
      </c>
      <c r="G67" s="245" t="s">
        <v>621</v>
      </c>
      <c r="H67" s="245" t="s">
        <v>621</v>
      </c>
      <c r="I67" s="245" t="s">
        <v>621</v>
      </c>
      <c r="J67" s="245" t="s">
        <v>621</v>
      </c>
      <c r="K67" s="245" t="s">
        <v>621</v>
      </c>
      <c r="L67" s="245" t="s">
        <v>621</v>
      </c>
      <c r="M67" s="245" t="s">
        <v>621</v>
      </c>
      <c r="N67" s="245" t="s">
        <v>621</v>
      </c>
      <c r="O67" s="245" t="s">
        <v>621</v>
      </c>
      <c r="P67" s="245" t="s">
        <v>621</v>
      </c>
      <c r="Q67" s="245" t="s">
        <v>621</v>
      </c>
      <c r="R67" s="245" t="s">
        <v>621</v>
      </c>
      <c r="S67" s="509" t="s">
        <v>621</v>
      </c>
      <c r="T67" s="512" t="s">
        <v>621</v>
      </c>
      <c r="U67" s="245" t="s">
        <v>621</v>
      </c>
      <c r="V67" s="245" t="s">
        <v>621</v>
      </c>
      <c r="W67" s="245" t="s">
        <v>621</v>
      </c>
      <c r="X67" s="350" t="s">
        <v>621</v>
      </c>
      <c r="Y67" s="245" t="s">
        <v>621</v>
      </c>
      <c r="Z67" s="245" t="s">
        <v>621</v>
      </c>
      <c r="AA67" s="246" t="str">
        <f t="shared" si="27"/>
        <v>нд</v>
      </c>
      <c r="AB67" s="246" t="s">
        <v>621</v>
      </c>
      <c r="AC67" s="245" t="s">
        <v>621</v>
      </c>
      <c r="AD67" s="245" t="s">
        <v>621</v>
      </c>
      <c r="AE67" s="245" t="s">
        <v>621</v>
      </c>
      <c r="AF67" s="245" t="s">
        <v>621</v>
      </c>
      <c r="AG67" s="509" t="s">
        <v>621</v>
      </c>
      <c r="AH67" s="500" t="s">
        <v>621</v>
      </c>
      <c r="AI67" s="245">
        <v>0</v>
      </c>
      <c r="AJ67" s="245" t="s">
        <v>621</v>
      </c>
      <c r="AK67" s="245" t="s">
        <v>621</v>
      </c>
      <c r="AL67" s="245" t="s">
        <v>621</v>
      </c>
      <c r="AM67" s="245" t="s">
        <v>621</v>
      </c>
      <c r="AN67" s="245" t="s">
        <v>621</v>
      </c>
      <c r="AO67" s="245" t="str">
        <f t="shared" si="28"/>
        <v>нд</v>
      </c>
      <c r="AP67" s="245">
        <v>0</v>
      </c>
      <c r="AQ67" s="245" t="s">
        <v>621</v>
      </c>
      <c r="AR67" s="245" t="s">
        <v>621</v>
      </c>
      <c r="AS67" s="245" t="s">
        <v>621</v>
      </c>
      <c r="AT67" s="245" t="s">
        <v>621</v>
      </c>
      <c r="AU67" s="509" t="s">
        <v>621</v>
      </c>
      <c r="AV67" s="512" t="s">
        <v>621</v>
      </c>
      <c r="AW67" s="500" t="s">
        <v>621</v>
      </c>
      <c r="AX67" s="245" t="s">
        <v>621</v>
      </c>
      <c r="AY67" s="245" t="s">
        <v>621</v>
      </c>
      <c r="AZ67" s="350" t="s">
        <v>621</v>
      </c>
      <c r="BA67" s="245" t="s">
        <v>621</v>
      </c>
      <c r="BB67" s="245" t="s">
        <v>621</v>
      </c>
      <c r="BC67" s="245" t="str">
        <f t="shared" si="29"/>
        <v>нд</v>
      </c>
      <c r="BD67" s="245" t="s">
        <v>621</v>
      </c>
      <c r="BE67" s="245" t="s">
        <v>621</v>
      </c>
      <c r="BF67" s="245" t="s">
        <v>621</v>
      </c>
      <c r="BG67" s="245" t="s">
        <v>621</v>
      </c>
      <c r="BH67" s="245" t="s">
        <v>621</v>
      </c>
      <c r="BI67" s="497" t="s">
        <v>621</v>
      </c>
      <c r="BJ67" s="512" t="s">
        <v>621</v>
      </c>
      <c r="BK67" s="568">
        <v>1.07</v>
      </c>
      <c r="BL67" s="245">
        <v>0.8</v>
      </c>
      <c r="BM67" s="245" t="s">
        <v>621</v>
      </c>
      <c r="BN67" s="350" t="s">
        <v>621</v>
      </c>
      <c r="BO67" s="245" t="s">
        <v>621</v>
      </c>
      <c r="BP67" s="245" t="s">
        <v>621</v>
      </c>
      <c r="BQ67" s="245" t="s">
        <v>621</v>
      </c>
      <c r="BR67" s="245">
        <f t="shared" si="33"/>
        <v>1.07</v>
      </c>
      <c r="BS67" s="245">
        <f t="shared" si="30"/>
        <v>0.8</v>
      </c>
      <c r="BT67" s="245" t="s">
        <v>621</v>
      </c>
      <c r="BU67" s="245" t="s">
        <v>621</v>
      </c>
      <c r="BV67" s="245" t="s">
        <v>621</v>
      </c>
      <c r="BW67" s="509" t="s">
        <v>621</v>
      </c>
      <c r="BX67" s="512" t="s">
        <v>621</v>
      </c>
      <c r="BY67" s="568" t="s">
        <v>621</v>
      </c>
      <c r="BZ67" s="245" t="s">
        <v>621</v>
      </c>
      <c r="CA67" s="245" t="s">
        <v>621</v>
      </c>
      <c r="CB67" s="262" t="s">
        <v>621</v>
      </c>
      <c r="CC67" s="245" t="s">
        <v>621</v>
      </c>
      <c r="CD67" s="497" t="s">
        <v>621</v>
      </c>
      <c r="CE67" s="245" t="s">
        <v>621</v>
      </c>
      <c r="CF67" s="246" t="str">
        <f t="shared" si="26"/>
        <v>нд</v>
      </c>
      <c r="CG67" s="245" t="s">
        <v>621</v>
      </c>
      <c r="CH67" s="245" t="s">
        <v>621</v>
      </c>
      <c r="CI67" s="245" t="s">
        <v>621</v>
      </c>
      <c r="CJ67" s="245" t="s">
        <v>621</v>
      </c>
      <c r="CK67" s="509" t="s">
        <v>621</v>
      </c>
      <c r="CL67" s="512" t="s">
        <v>621</v>
      </c>
      <c r="CM67" s="568">
        <v>1.07</v>
      </c>
      <c r="CN67" s="246">
        <v>0.8</v>
      </c>
      <c r="CO67" s="245" t="s">
        <v>621</v>
      </c>
      <c r="CP67" s="262" t="s">
        <v>621</v>
      </c>
      <c r="CQ67" s="245" t="s">
        <v>621</v>
      </c>
      <c r="CR67" s="245">
        <v>0</v>
      </c>
      <c r="CS67" s="512" t="s">
        <v>621</v>
      </c>
      <c r="CT67" s="246">
        <f>'3 (цены без НДС)'!P65</f>
        <v>1.1399999999999999</v>
      </c>
      <c r="CU67" s="245">
        <f t="shared" si="31"/>
        <v>0.8</v>
      </c>
      <c r="CV67" s="245" t="s">
        <v>621</v>
      </c>
      <c r="CW67" s="245" t="s">
        <v>621</v>
      </c>
      <c r="CX67" s="245" t="s">
        <v>621</v>
      </c>
      <c r="CY67" s="509">
        <f t="shared" si="32"/>
        <v>0</v>
      </c>
      <c r="CZ67" s="500" t="s">
        <v>621</v>
      </c>
    </row>
    <row r="68" spans="1:105" s="311" customFormat="1" ht="30.75" x14ac:dyDescent="0.3">
      <c r="A68" s="1035" t="s">
        <v>898</v>
      </c>
      <c r="B68" s="968" t="s">
        <v>882</v>
      </c>
      <c r="C68" s="972" t="s">
        <v>1070</v>
      </c>
      <c r="D68" s="246">
        <v>1.26</v>
      </c>
      <c r="E68" s="1003">
        <f>'3 (цены без НДС)'!P66</f>
        <v>1.35</v>
      </c>
      <c r="F68" s="512" t="s">
        <v>621</v>
      </c>
      <c r="G68" s="245" t="s">
        <v>621</v>
      </c>
      <c r="H68" s="245" t="s">
        <v>621</v>
      </c>
      <c r="I68" s="245" t="s">
        <v>621</v>
      </c>
      <c r="J68" s="245" t="s">
        <v>621</v>
      </c>
      <c r="K68" s="245" t="s">
        <v>621</v>
      </c>
      <c r="L68" s="245" t="s">
        <v>621</v>
      </c>
      <c r="M68" s="245" t="s">
        <v>621</v>
      </c>
      <c r="N68" s="245" t="s">
        <v>621</v>
      </c>
      <c r="O68" s="245" t="s">
        <v>621</v>
      </c>
      <c r="P68" s="245" t="s">
        <v>621</v>
      </c>
      <c r="Q68" s="245" t="s">
        <v>621</v>
      </c>
      <c r="R68" s="245" t="s">
        <v>621</v>
      </c>
      <c r="S68" s="509" t="s">
        <v>621</v>
      </c>
      <c r="T68" s="512" t="s">
        <v>621</v>
      </c>
      <c r="U68" s="245" t="s">
        <v>621</v>
      </c>
      <c r="V68" s="245" t="s">
        <v>621</v>
      </c>
      <c r="W68" s="245" t="s">
        <v>621</v>
      </c>
      <c r="X68" s="350" t="s">
        <v>621</v>
      </c>
      <c r="Y68" s="245" t="s">
        <v>621</v>
      </c>
      <c r="Z68" s="245" t="s">
        <v>621</v>
      </c>
      <c r="AA68" s="246" t="str">
        <f t="shared" si="27"/>
        <v>нд</v>
      </c>
      <c r="AB68" s="246" t="s">
        <v>621</v>
      </c>
      <c r="AC68" s="245" t="s">
        <v>621</v>
      </c>
      <c r="AD68" s="245" t="s">
        <v>621</v>
      </c>
      <c r="AE68" s="245" t="s">
        <v>621</v>
      </c>
      <c r="AF68" s="245" t="s">
        <v>621</v>
      </c>
      <c r="AG68" s="509" t="s">
        <v>621</v>
      </c>
      <c r="AH68" s="500" t="s">
        <v>621</v>
      </c>
      <c r="AI68" s="245">
        <v>0</v>
      </c>
      <c r="AJ68" s="245" t="s">
        <v>621</v>
      </c>
      <c r="AK68" s="245" t="s">
        <v>621</v>
      </c>
      <c r="AL68" s="245" t="s">
        <v>621</v>
      </c>
      <c r="AM68" s="245" t="s">
        <v>621</v>
      </c>
      <c r="AN68" s="245" t="s">
        <v>621</v>
      </c>
      <c r="AO68" s="245" t="str">
        <f t="shared" si="28"/>
        <v>нд</v>
      </c>
      <c r="AP68" s="245">
        <v>0</v>
      </c>
      <c r="AQ68" s="245" t="s">
        <v>621</v>
      </c>
      <c r="AR68" s="245" t="s">
        <v>621</v>
      </c>
      <c r="AS68" s="245" t="s">
        <v>621</v>
      </c>
      <c r="AT68" s="245" t="s">
        <v>621</v>
      </c>
      <c r="AU68" s="509" t="s">
        <v>621</v>
      </c>
      <c r="AV68" s="512" t="s">
        <v>621</v>
      </c>
      <c r="AW68" s="500" t="s">
        <v>621</v>
      </c>
      <c r="AX68" s="245" t="s">
        <v>621</v>
      </c>
      <c r="AY68" s="245" t="s">
        <v>621</v>
      </c>
      <c r="AZ68" s="350" t="s">
        <v>621</v>
      </c>
      <c r="BA68" s="245" t="s">
        <v>621</v>
      </c>
      <c r="BB68" s="245" t="s">
        <v>621</v>
      </c>
      <c r="BC68" s="245" t="str">
        <f t="shared" si="29"/>
        <v>нд</v>
      </c>
      <c r="BD68" s="245" t="s">
        <v>621</v>
      </c>
      <c r="BE68" s="245" t="s">
        <v>621</v>
      </c>
      <c r="BF68" s="245" t="s">
        <v>621</v>
      </c>
      <c r="BG68" s="245" t="s">
        <v>621</v>
      </c>
      <c r="BH68" s="245" t="s">
        <v>621</v>
      </c>
      <c r="BI68" s="497" t="s">
        <v>621</v>
      </c>
      <c r="BJ68" s="512" t="s">
        <v>621</v>
      </c>
      <c r="BK68" s="568">
        <v>1.26</v>
      </c>
      <c r="BL68" s="245">
        <v>1.26</v>
      </c>
      <c r="BM68" s="245" t="s">
        <v>621</v>
      </c>
      <c r="BN68" s="350" t="s">
        <v>621</v>
      </c>
      <c r="BO68" s="245" t="s">
        <v>621</v>
      </c>
      <c r="BP68" s="245" t="s">
        <v>621</v>
      </c>
      <c r="BQ68" s="245" t="s">
        <v>621</v>
      </c>
      <c r="BR68" s="245">
        <f t="shared" si="33"/>
        <v>1.26</v>
      </c>
      <c r="BS68" s="245">
        <f t="shared" si="30"/>
        <v>1.26</v>
      </c>
      <c r="BT68" s="245" t="s">
        <v>621</v>
      </c>
      <c r="BU68" s="245" t="s">
        <v>621</v>
      </c>
      <c r="BV68" s="245" t="s">
        <v>621</v>
      </c>
      <c r="BW68" s="509" t="s">
        <v>621</v>
      </c>
      <c r="BX68" s="512" t="s">
        <v>621</v>
      </c>
      <c r="BY68" s="568" t="s">
        <v>621</v>
      </c>
      <c r="BZ68" s="245" t="s">
        <v>621</v>
      </c>
      <c r="CA68" s="245" t="s">
        <v>621</v>
      </c>
      <c r="CB68" s="262" t="s">
        <v>621</v>
      </c>
      <c r="CC68" s="245" t="s">
        <v>621</v>
      </c>
      <c r="CD68" s="497" t="s">
        <v>621</v>
      </c>
      <c r="CE68" s="245" t="s">
        <v>621</v>
      </c>
      <c r="CF68" s="246" t="str">
        <f t="shared" si="26"/>
        <v>нд</v>
      </c>
      <c r="CG68" s="245" t="s">
        <v>621</v>
      </c>
      <c r="CH68" s="245" t="s">
        <v>621</v>
      </c>
      <c r="CI68" s="245" t="s">
        <v>621</v>
      </c>
      <c r="CJ68" s="245" t="s">
        <v>621</v>
      </c>
      <c r="CK68" s="509" t="s">
        <v>621</v>
      </c>
      <c r="CL68" s="512" t="s">
        <v>621</v>
      </c>
      <c r="CM68" s="568">
        <v>1.26</v>
      </c>
      <c r="CN68" s="246">
        <v>1.26</v>
      </c>
      <c r="CO68" s="245" t="s">
        <v>621</v>
      </c>
      <c r="CP68" s="262" t="s">
        <v>621</v>
      </c>
      <c r="CQ68" s="245" t="s">
        <v>621</v>
      </c>
      <c r="CR68" s="245">
        <v>0</v>
      </c>
      <c r="CS68" s="512" t="s">
        <v>621</v>
      </c>
      <c r="CT68" s="246">
        <f>'3 (цены без НДС)'!P66</f>
        <v>1.35</v>
      </c>
      <c r="CU68" s="245">
        <f t="shared" si="31"/>
        <v>1.26</v>
      </c>
      <c r="CV68" s="245" t="s">
        <v>621</v>
      </c>
      <c r="CW68" s="245" t="s">
        <v>621</v>
      </c>
      <c r="CX68" s="245" t="s">
        <v>621</v>
      </c>
      <c r="CY68" s="509">
        <f t="shared" si="32"/>
        <v>0</v>
      </c>
      <c r="CZ68" s="500" t="s">
        <v>621</v>
      </c>
    </row>
    <row r="69" spans="1:105" s="311" customFormat="1" ht="30.75" x14ac:dyDescent="0.3">
      <c r="A69" s="1035" t="s">
        <v>899</v>
      </c>
      <c r="B69" s="968" t="s">
        <v>883</v>
      </c>
      <c r="C69" s="972" t="s">
        <v>1071</v>
      </c>
      <c r="D69" s="246">
        <v>1.26</v>
      </c>
      <c r="E69" s="1003">
        <f>'3 (цены без НДС)'!P67</f>
        <v>1.35</v>
      </c>
      <c r="F69" s="512" t="s">
        <v>621</v>
      </c>
      <c r="G69" s="245" t="s">
        <v>621</v>
      </c>
      <c r="H69" s="245" t="s">
        <v>621</v>
      </c>
      <c r="I69" s="245" t="s">
        <v>621</v>
      </c>
      <c r="J69" s="245" t="s">
        <v>621</v>
      </c>
      <c r="K69" s="245" t="s">
        <v>621</v>
      </c>
      <c r="L69" s="245" t="s">
        <v>621</v>
      </c>
      <c r="M69" s="245" t="s">
        <v>621</v>
      </c>
      <c r="N69" s="245" t="s">
        <v>621</v>
      </c>
      <c r="O69" s="245" t="s">
        <v>621</v>
      </c>
      <c r="P69" s="245" t="s">
        <v>621</v>
      </c>
      <c r="Q69" s="245" t="s">
        <v>621</v>
      </c>
      <c r="R69" s="245" t="s">
        <v>621</v>
      </c>
      <c r="S69" s="509" t="s">
        <v>621</v>
      </c>
      <c r="T69" s="512" t="s">
        <v>621</v>
      </c>
      <c r="U69" s="245" t="s">
        <v>621</v>
      </c>
      <c r="V69" s="245" t="s">
        <v>621</v>
      </c>
      <c r="W69" s="245" t="s">
        <v>621</v>
      </c>
      <c r="X69" s="350" t="s">
        <v>621</v>
      </c>
      <c r="Y69" s="245" t="s">
        <v>621</v>
      </c>
      <c r="Z69" s="245" t="s">
        <v>621</v>
      </c>
      <c r="AA69" s="246" t="str">
        <f t="shared" si="27"/>
        <v>нд</v>
      </c>
      <c r="AB69" s="246" t="s">
        <v>621</v>
      </c>
      <c r="AC69" s="245" t="s">
        <v>621</v>
      </c>
      <c r="AD69" s="245" t="s">
        <v>621</v>
      </c>
      <c r="AE69" s="245" t="s">
        <v>621</v>
      </c>
      <c r="AF69" s="245" t="s">
        <v>621</v>
      </c>
      <c r="AG69" s="509" t="s">
        <v>621</v>
      </c>
      <c r="AH69" s="500" t="s">
        <v>621</v>
      </c>
      <c r="AI69" s="245">
        <v>0</v>
      </c>
      <c r="AJ69" s="245" t="s">
        <v>621</v>
      </c>
      <c r="AK69" s="245" t="s">
        <v>621</v>
      </c>
      <c r="AL69" s="245" t="s">
        <v>621</v>
      </c>
      <c r="AM69" s="245" t="s">
        <v>621</v>
      </c>
      <c r="AN69" s="245" t="s">
        <v>621</v>
      </c>
      <c r="AO69" s="245" t="str">
        <f t="shared" si="28"/>
        <v>нд</v>
      </c>
      <c r="AP69" s="245">
        <v>0</v>
      </c>
      <c r="AQ69" s="245" t="s">
        <v>621</v>
      </c>
      <c r="AR69" s="245" t="s">
        <v>621</v>
      </c>
      <c r="AS69" s="245" t="s">
        <v>621</v>
      </c>
      <c r="AT69" s="245" t="s">
        <v>621</v>
      </c>
      <c r="AU69" s="509" t="s">
        <v>621</v>
      </c>
      <c r="AV69" s="512" t="s">
        <v>621</v>
      </c>
      <c r="AW69" s="500" t="s">
        <v>621</v>
      </c>
      <c r="AX69" s="245" t="s">
        <v>621</v>
      </c>
      <c r="AY69" s="245" t="s">
        <v>621</v>
      </c>
      <c r="AZ69" s="350" t="s">
        <v>621</v>
      </c>
      <c r="BA69" s="245" t="s">
        <v>621</v>
      </c>
      <c r="BB69" s="245" t="s">
        <v>621</v>
      </c>
      <c r="BC69" s="245" t="str">
        <f t="shared" si="29"/>
        <v>нд</v>
      </c>
      <c r="BD69" s="245" t="s">
        <v>621</v>
      </c>
      <c r="BE69" s="245" t="s">
        <v>621</v>
      </c>
      <c r="BF69" s="245" t="s">
        <v>621</v>
      </c>
      <c r="BG69" s="245" t="s">
        <v>621</v>
      </c>
      <c r="BH69" s="245" t="s">
        <v>621</v>
      </c>
      <c r="BI69" s="497" t="s">
        <v>621</v>
      </c>
      <c r="BJ69" s="512" t="s">
        <v>621</v>
      </c>
      <c r="BK69" s="568">
        <v>1.26</v>
      </c>
      <c r="BL69" s="245">
        <v>1.26</v>
      </c>
      <c r="BM69" s="245" t="s">
        <v>621</v>
      </c>
      <c r="BN69" s="350" t="s">
        <v>621</v>
      </c>
      <c r="BO69" s="245" t="s">
        <v>621</v>
      </c>
      <c r="BP69" s="245" t="s">
        <v>621</v>
      </c>
      <c r="BQ69" s="245" t="s">
        <v>621</v>
      </c>
      <c r="BR69" s="245">
        <f t="shared" si="33"/>
        <v>1.26</v>
      </c>
      <c r="BS69" s="245">
        <f t="shared" si="30"/>
        <v>1.26</v>
      </c>
      <c r="BT69" s="245" t="s">
        <v>621</v>
      </c>
      <c r="BU69" s="245" t="s">
        <v>621</v>
      </c>
      <c r="BV69" s="245" t="s">
        <v>621</v>
      </c>
      <c r="BW69" s="509" t="s">
        <v>621</v>
      </c>
      <c r="BX69" s="512" t="s">
        <v>621</v>
      </c>
      <c r="BY69" s="568" t="s">
        <v>621</v>
      </c>
      <c r="BZ69" s="245" t="s">
        <v>621</v>
      </c>
      <c r="CA69" s="245" t="s">
        <v>621</v>
      </c>
      <c r="CB69" s="262" t="s">
        <v>621</v>
      </c>
      <c r="CC69" s="245" t="s">
        <v>621</v>
      </c>
      <c r="CD69" s="497" t="s">
        <v>621</v>
      </c>
      <c r="CE69" s="245" t="s">
        <v>621</v>
      </c>
      <c r="CF69" s="246" t="str">
        <f t="shared" si="26"/>
        <v>нд</v>
      </c>
      <c r="CG69" s="245" t="s">
        <v>621</v>
      </c>
      <c r="CH69" s="245" t="s">
        <v>621</v>
      </c>
      <c r="CI69" s="245" t="s">
        <v>621</v>
      </c>
      <c r="CJ69" s="245" t="s">
        <v>621</v>
      </c>
      <c r="CK69" s="509" t="s">
        <v>621</v>
      </c>
      <c r="CL69" s="512" t="s">
        <v>621</v>
      </c>
      <c r="CM69" s="568">
        <v>1.26</v>
      </c>
      <c r="CN69" s="246">
        <v>1.26</v>
      </c>
      <c r="CO69" s="245" t="s">
        <v>621</v>
      </c>
      <c r="CP69" s="262" t="s">
        <v>621</v>
      </c>
      <c r="CQ69" s="245" t="s">
        <v>621</v>
      </c>
      <c r="CR69" s="245">
        <v>0</v>
      </c>
      <c r="CS69" s="512" t="s">
        <v>621</v>
      </c>
      <c r="CT69" s="246">
        <f>'3 (цены без НДС)'!P67</f>
        <v>1.35</v>
      </c>
      <c r="CU69" s="245">
        <f t="shared" si="31"/>
        <v>1.26</v>
      </c>
      <c r="CV69" s="245" t="s">
        <v>621</v>
      </c>
      <c r="CW69" s="245" t="s">
        <v>621</v>
      </c>
      <c r="CX69" s="245" t="s">
        <v>621</v>
      </c>
      <c r="CY69" s="509">
        <f t="shared" si="32"/>
        <v>0</v>
      </c>
      <c r="CZ69" s="500" t="s">
        <v>621</v>
      </c>
    </row>
    <row r="70" spans="1:105" s="311" customFormat="1" ht="37.5" customHeight="1" x14ac:dyDescent="0.3">
      <c r="A70" s="1035" t="s">
        <v>900</v>
      </c>
      <c r="B70" s="968" t="s">
        <v>902</v>
      </c>
      <c r="C70" s="972" t="s">
        <v>1072</v>
      </c>
      <c r="D70" s="246">
        <v>21.82</v>
      </c>
      <c r="E70" s="1003">
        <f>'3 (цены без НДС)'!P68</f>
        <v>23.67</v>
      </c>
      <c r="F70" s="512" t="s">
        <v>621</v>
      </c>
      <c r="G70" s="245" t="s">
        <v>621</v>
      </c>
      <c r="H70" s="245" t="s">
        <v>621</v>
      </c>
      <c r="I70" s="245" t="s">
        <v>621</v>
      </c>
      <c r="J70" s="245" t="s">
        <v>621</v>
      </c>
      <c r="K70" s="245" t="s">
        <v>621</v>
      </c>
      <c r="L70" s="245" t="s">
        <v>621</v>
      </c>
      <c r="M70" s="245" t="s">
        <v>621</v>
      </c>
      <c r="N70" s="245" t="s">
        <v>621</v>
      </c>
      <c r="O70" s="245" t="s">
        <v>621</v>
      </c>
      <c r="P70" s="245" t="s">
        <v>621</v>
      </c>
      <c r="Q70" s="245" t="s">
        <v>621</v>
      </c>
      <c r="R70" s="245" t="s">
        <v>621</v>
      </c>
      <c r="S70" s="509" t="s">
        <v>621</v>
      </c>
      <c r="T70" s="512" t="s">
        <v>621</v>
      </c>
      <c r="U70" s="245" t="s">
        <v>621</v>
      </c>
      <c r="V70" s="245" t="s">
        <v>621</v>
      </c>
      <c r="W70" s="245" t="s">
        <v>621</v>
      </c>
      <c r="X70" s="350" t="s">
        <v>621</v>
      </c>
      <c r="Y70" s="245" t="s">
        <v>621</v>
      </c>
      <c r="Z70" s="245" t="s">
        <v>621</v>
      </c>
      <c r="AA70" s="246" t="str">
        <f t="shared" si="27"/>
        <v>нд</v>
      </c>
      <c r="AB70" s="246" t="s">
        <v>621</v>
      </c>
      <c r="AC70" s="245" t="s">
        <v>621</v>
      </c>
      <c r="AD70" s="245" t="s">
        <v>621</v>
      </c>
      <c r="AE70" s="245" t="s">
        <v>621</v>
      </c>
      <c r="AF70" s="245" t="s">
        <v>621</v>
      </c>
      <c r="AG70" s="509" t="s">
        <v>621</v>
      </c>
      <c r="AH70" s="500" t="s">
        <v>621</v>
      </c>
      <c r="AI70" s="245">
        <v>0</v>
      </c>
      <c r="AJ70" s="245" t="s">
        <v>621</v>
      </c>
      <c r="AK70" s="245" t="s">
        <v>621</v>
      </c>
      <c r="AL70" s="245" t="s">
        <v>621</v>
      </c>
      <c r="AM70" s="245" t="s">
        <v>621</v>
      </c>
      <c r="AN70" s="245" t="s">
        <v>621</v>
      </c>
      <c r="AO70" s="245" t="str">
        <f t="shared" si="28"/>
        <v>нд</v>
      </c>
      <c r="AP70" s="245">
        <v>0</v>
      </c>
      <c r="AQ70" s="245" t="s">
        <v>621</v>
      </c>
      <c r="AR70" s="245" t="s">
        <v>621</v>
      </c>
      <c r="AS70" s="245" t="s">
        <v>621</v>
      </c>
      <c r="AT70" s="245" t="s">
        <v>621</v>
      </c>
      <c r="AU70" s="509" t="s">
        <v>621</v>
      </c>
      <c r="AV70" s="512" t="s">
        <v>621</v>
      </c>
      <c r="AW70" s="500" t="s">
        <v>621</v>
      </c>
      <c r="AX70" s="245" t="s">
        <v>621</v>
      </c>
      <c r="AY70" s="245" t="s">
        <v>621</v>
      </c>
      <c r="AZ70" s="350" t="s">
        <v>621</v>
      </c>
      <c r="BA70" s="245" t="s">
        <v>621</v>
      </c>
      <c r="BB70" s="245" t="s">
        <v>621</v>
      </c>
      <c r="BC70" s="245" t="str">
        <f t="shared" si="29"/>
        <v>нд</v>
      </c>
      <c r="BD70" s="245" t="s">
        <v>621</v>
      </c>
      <c r="BE70" s="245" t="s">
        <v>621</v>
      </c>
      <c r="BF70" s="245" t="s">
        <v>621</v>
      </c>
      <c r="BG70" s="245" t="s">
        <v>621</v>
      </c>
      <c r="BH70" s="245" t="s">
        <v>621</v>
      </c>
      <c r="BI70" s="497" t="s">
        <v>621</v>
      </c>
      <c r="BJ70" s="512" t="s">
        <v>621</v>
      </c>
      <c r="BK70" s="500">
        <v>0</v>
      </c>
      <c r="BL70" s="245" t="s">
        <v>621</v>
      </c>
      <c r="BM70" s="245" t="s">
        <v>621</v>
      </c>
      <c r="BN70" s="350" t="s">
        <v>621</v>
      </c>
      <c r="BO70" s="245" t="s">
        <v>621</v>
      </c>
      <c r="BP70" s="245" t="s">
        <v>621</v>
      </c>
      <c r="BQ70" s="245" t="s">
        <v>621</v>
      </c>
      <c r="BR70" s="245">
        <v>0</v>
      </c>
      <c r="BS70" s="245" t="str">
        <f t="shared" si="30"/>
        <v>нд</v>
      </c>
      <c r="BT70" s="245" t="s">
        <v>621</v>
      </c>
      <c r="BU70" s="245" t="s">
        <v>621</v>
      </c>
      <c r="BV70" s="245" t="s">
        <v>621</v>
      </c>
      <c r="BW70" s="509" t="s">
        <v>621</v>
      </c>
      <c r="BX70" s="512" t="s">
        <v>621</v>
      </c>
      <c r="BY70" s="568">
        <v>21.82</v>
      </c>
      <c r="BZ70" s="245" t="s">
        <v>621</v>
      </c>
      <c r="CA70" s="245" t="s">
        <v>621</v>
      </c>
      <c r="CB70" s="262" t="s">
        <v>621</v>
      </c>
      <c r="CC70" s="245" t="s">
        <v>621</v>
      </c>
      <c r="CD70" s="497">
        <v>23</v>
      </c>
      <c r="CE70" s="245" t="s">
        <v>621</v>
      </c>
      <c r="CF70" s="246">
        <f t="shared" si="26"/>
        <v>21.82</v>
      </c>
      <c r="CG70" s="245" t="s">
        <v>621</v>
      </c>
      <c r="CH70" s="245" t="s">
        <v>621</v>
      </c>
      <c r="CI70" s="245" t="s">
        <v>621</v>
      </c>
      <c r="CJ70" s="245" t="s">
        <v>621</v>
      </c>
      <c r="CK70" s="509">
        <f>CD70</f>
        <v>23</v>
      </c>
      <c r="CL70" s="512" t="s">
        <v>621</v>
      </c>
      <c r="CM70" s="568">
        <v>21.82</v>
      </c>
      <c r="CN70" s="245">
        <v>0</v>
      </c>
      <c r="CO70" s="245" t="s">
        <v>621</v>
      </c>
      <c r="CP70" s="262" t="s">
        <v>621</v>
      </c>
      <c r="CQ70" s="245" t="s">
        <v>621</v>
      </c>
      <c r="CR70" s="245">
        <v>23</v>
      </c>
      <c r="CS70" s="512" t="s">
        <v>621</v>
      </c>
      <c r="CT70" s="246">
        <f>'3 (цены без НДС)'!P68</f>
        <v>23.67</v>
      </c>
      <c r="CU70" s="245">
        <f t="shared" si="31"/>
        <v>0</v>
      </c>
      <c r="CV70" s="245" t="s">
        <v>621</v>
      </c>
      <c r="CW70" s="245" t="s">
        <v>621</v>
      </c>
      <c r="CX70" s="245" t="s">
        <v>621</v>
      </c>
      <c r="CY70" s="509">
        <f t="shared" si="32"/>
        <v>23</v>
      </c>
      <c r="CZ70" s="500" t="s">
        <v>621</v>
      </c>
    </row>
    <row r="71" spans="1:105" s="577" customFormat="1" ht="40.5" customHeight="1" x14ac:dyDescent="0.3">
      <c r="A71" s="1035" t="s">
        <v>919</v>
      </c>
      <c r="B71" s="968" t="s">
        <v>917</v>
      </c>
      <c r="C71" s="972" t="s">
        <v>1073</v>
      </c>
      <c r="D71" s="246">
        <v>15.51</v>
      </c>
      <c r="E71" s="1003">
        <f>'3 (цены без НДС)'!P69</f>
        <v>16.82</v>
      </c>
      <c r="F71" s="512" t="s">
        <v>621</v>
      </c>
      <c r="G71" s="245" t="s">
        <v>621</v>
      </c>
      <c r="H71" s="245" t="s">
        <v>621</v>
      </c>
      <c r="I71" s="245" t="s">
        <v>621</v>
      </c>
      <c r="J71" s="245" t="s">
        <v>621</v>
      </c>
      <c r="K71" s="245" t="s">
        <v>621</v>
      </c>
      <c r="L71" s="245" t="s">
        <v>621</v>
      </c>
      <c r="M71" s="245" t="s">
        <v>621</v>
      </c>
      <c r="N71" s="245" t="s">
        <v>621</v>
      </c>
      <c r="O71" s="245" t="s">
        <v>621</v>
      </c>
      <c r="P71" s="245" t="s">
        <v>621</v>
      </c>
      <c r="Q71" s="245" t="s">
        <v>621</v>
      </c>
      <c r="R71" s="245" t="s">
        <v>621</v>
      </c>
      <c r="S71" s="509" t="s">
        <v>621</v>
      </c>
      <c r="T71" s="512" t="s">
        <v>621</v>
      </c>
      <c r="U71" s="245" t="s">
        <v>621</v>
      </c>
      <c r="V71" s="245" t="s">
        <v>621</v>
      </c>
      <c r="W71" s="245" t="s">
        <v>621</v>
      </c>
      <c r="X71" s="350" t="s">
        <v>621</v>
      </c>
      <c r="Y71" s="245" t="s">
        <v>621</v>
      </c>
      <c r="Z71" s="245" t="s">
        <v>621</v>
      </c>
      <c r="AA71" s="246" t="str">
        <f t="shared" si="27"/>
        <v>нд</v>
      </c>
      <c r="AB71" s="246" t="s">
        <v>621</v>
      </c>
      <c r="AC71" s="245" t="s">
        <v>621</v>
      </c>
      <c r="AD71" s="245" t="s">
        <v>621</v>
      </c>
      <c r="AE71" s="245" t="s">
        <v>621</v>
      </c>
      <c r="AF71" s="245" t="s">
        <v>621</v>
      </c>
      <c r="AG71" s="509" t="s">
        <v>621</v>
      </c>
      <c r="AH71" s="500" t="s">
        <v>621</v>
      </c>
      <c r="AI71" s="245">
        <v>0</v>
      </c>
      <c r="AJ71" s="245" t="s">
        <v>621</v>
      </c>
      <c r="AK71" s="245" t="s">
        <v>621</v>
      </c>
      <c r="AL71" s="245" t="s">
        <v>621</v>
      </c>
      <c r="AM71" s="245" t="s">
        <v>621</v>
      </c>
      <c r="AN71" s="245" t="s">
        <v>621</v>
      </c>
      <c r="AO71" s="245" t="str">
        <f t="shared" si="28"/>
        <v>нд</v>
      </c>
      <c r="AP71" s="245">
        <v>0</v>
      </c>
      <c r="AQ71" s="245" t="s">
        <v>621</v>
      </c>
      <c r="AR71" s="245" t="s">
        <v>621</v>
      </c>
      <c r="AS71" s="245" t="s">
        <v>621</v>
      </c>
      <c r="AT71" s="245" t="s">
        <v>621</v>
      </c>
      <c r="AU71" s="509" t="s">
        <v>621</v>
      </c>
      <c r="AV71" s="512" t="s">
        <v>621</v>
      </c>
      <c r="AW71" s="500" t="s">
        <v>621</v>
      </c>
      <c r="AX71" s="245" t="s">
        <v>621</v>
      </c>
      <c r="AY71" s="245" t="s">
        <v>621</v>
      </c>
      <c r="AZ71" s="350" t="s">
        <v>621</v>
      </c>
      <c r="BA71" s="245" t="s">
        <v>621</v>
      </c>
      <c r="BB71" s="245" t="s">
        <v>621</v>
      </c>
      <c r="BC71" s="245" t="str">
        <f t="shared" si="29"/>
        <v>нд</v>
      </c>
      <c r="BD71" s="245" t="s">
        <v>621</v>
      </c>
      <c r="BE71" s="245" t="s">
        <v>621</v>
      </c>
      <c r="BF71" s="245" t="s">
        <v>621</v>
      </c>
      <c r="BG71" s="245" t="s">
        <v>621</v>
      </c>
      <c r="BH71" s="245" t="s">
        <v>621</v>
      </c>
      <c r="BI71" s="497" t="s">
        <v>621</v>
      </c>
      <c r="BJ71" s="512" t="s">
        <v>621</v>
      </c>
      <c r="BK71" s="500">
        <v>0</v>
      </c>
      <c r="BL71" s="245" t="s">
        <v>621</v>
      </c>
      <c r="BM71" s="245" t="s">
        <v>621</v>
      </c>
      <c r="BN71" s="350" t="s">
        <v>621</v>
      </c>
      <c r="BO71" s="245" t="s">
        <v>621</v>
      </c>
      <c r="BP71" s="245" t="s">
        <v>621</v>
      </c>
      <c r="BQ71" s="245" t="s">
        <v>621</v>
      </c>
      <c r="BR71" s="245">
        <v>0</v>
      </c>
      <c r="BS71" s="245" t="str">
        <f t="shared" si="30"/>
        <v>нд</v>
      </c>
      <c r="BT71" s="245" t="s">
        <v>621</v>
      </c>
      <c r="BU71" s="245" t="s">
        <v>621</v>
      </c>
      <c r="BV71" s="245" t="s">
        <v>621</v>
      </c>
      <c r="BW71" s="509" t="s">
        <v>621</v>
      </c>
      <c r="BX71" s="512" t="s">
        <v>621</v>
      </c>
      <c r="BY71" s="568">
        <v>15.51</v>
      </c>
      <c r="BZ71" s="245" t="s">
        <v>621</v>
      </c>
      <c r="CA71" s="245" t="s">
        <v>621</v>
      </c>
      <c r="CB71" s="262" t="s">
        <v>621</v>
      </c>
      <c r="CC71" s="245" t="s">
        <v>621</v>
      </c>
      <c r="CD71" s="497">
        <v>13</v>
      </c>
      <c r="CE71" s="245" t="s">
        <v>621</v>
      </c>
      <c r="CF71" s="246">
        <f t="shared" si="26"/>
        <v>15.51</v>
      </c>
      <c r="CG71" s="245" t="s">
        <v>621</v>
      </c>
      <c r="CH71" s="245" t="s">
        <v>621</v>
      </c>
      <c r="CI71" s="245" t="s">
        <v>621</v>
      </c>
      <c r="CJ71" s="245" t="s">
        <v>621</v>
      </c>
      <c r="CK71" s="509">
        <f>CD71</f>
        <v>13</v>
      </c>
      <c r="CL71" s="512" t="s">
        <v>621</v>
      </c>
      <c r="CM71" s="568">
        <v>15.51</v>
      </c>
      <c r="CN71" s="245">
        <v>0</v>
      </c>
      <c r="CO71" s="245" t="s">
        <v>621</v>
      </c>
      <c r="CP71" s="262" t="s">
        <v>621</v>
      </c>
      <c r="CQ71" s="245" t="s">
        <v>621</v>
      </c>
      <c r="CR71" s="245">
        <v>13</v>
      </c>
      <c r="CS71" s="512" t="s">
        <v>621</v>
      </c>
      <c r="CT71" s="246">
        <f>'3 (цены без НДС)'!P69</f>
        <v>16.82</v>
      </c>
      <c r="CU71" s="245">
        <f t="shared" si="31"/>
        <v>0</v>
      </c>
      <c r="CV71" s="245" t="s">
        <v>621</v>
      </c>
      <c r="CW71" s="245" t="s">
        <v>621</v>
      </c>
      <c r="CX71" s="245" t="s">
        <v>621</v>
      </c>
      <c r="CY71" s="509">
        <f t="shared" si="32"/>
        <v>13</v>
      </c>
      <c r="CZ71" s="500" t="s">
        <v>621</v>
      </c>
    </row>
    <row r="72" spans="1:105" ht="30" hidden="1" customHeight="1" x14ac:dyDescent="0.3">
      <c r="A72" s="1043" t="s">
        <v>741</v>
      </c>
      <c r="B72" s="576" t="s">
        <v>690</v>
      </c>
      <c r="C72" s="640" t="s">
        <v>621</v>
      </c>
      <c r="D72" s="585">
        <v>0</v>
      </c>
      <c r="E72" s="1003" t="e">
        <f>'3 (цены без НДС)'!#REF!</f>
        <v>#REF!</v>
      </c>
      <c r="F72" s="512" t="s">
        <v>621</v>
      </c>
      <c r="G72" s="245" t="s">
        <v>621</v>
      </c>
      <c r="H72" s="245" t="s">
        <v>621</v>
      </c>
      <c r="I72" s="245" t="s">
        <v>621</v>
      </c>
      <c r="J72" s="245" t="s">
        <v>621</v>
      </c>
      <c r="K72" s="245" t="s">
        <v>621</v>
      </c>
      <c r="L72" s="245" t="s">
        <v>621</v>
      </c>
      <c r="M72" s="245" t="s">
        <v>621</v>
      </c>
      <c r="N72" s="245" t="s">
        <v>621</v>
      </c>
      <c r="O72" s="245" t="s">
        <v>621</v>
      </c>
      <c r="P72" s="245" t="s">
        <v>621</v>
      </c>
      <c r="Q72" s="245" t="s">
        <v>621</v>
      </c>
      <c r="R72" s="245" t="s">
        <v>621</v>
      </c>
      <c r="S72" s="509" t="s">
        <v>621</v>
      </c>
      <c r="T72" s="512" t="s">
        <v>621</v>
      </c>
      <c r="U72" s="245" t="s">
        <v>621</v>
      </c>
      <c r="V72" s="245" t="s">
        <v>621</v>
      </c>
      <c r="W72" s="245" t="s">
        <v>621</v>
      </c>
      <c r="X72" s="350" t="s">
        <v>621</v>
      </c>
      <c r="Y72" s="245" t="s">
        <v>621</v>
      </c>
      <c r="Z72" s="245" t="s">
        <v>621</v>
      </c>
      <c r="AA72" s="246" t="str">
        <f>T72</f>
        <v>нд</v>
      </c>
      <c r="AB72" s="246" t="s">
        <v>621</v>
      </c>
      <c r="AC72" s="245" t="s">
        <v>621</v>
      </c>
      <c r="AD72" s="245" t="s">
        <v>621</v>
      </c>
      <c r="AE72" s="245" t="s">
        <v>621</v>
      </c>
      <c r="AF72" s="245" t="s">
        <v>621</v>
      </c>
      <c r="AG72" s="509" t="s">
        <v>621</v>
      </c>
      <c r="AH72" s="500" t="s">
        <v>621</v>
      </c>
      <c r="AI72" s="245">
        <v>1</v>
      </c>
      <c r="AJ72" s="245" t="s">
        <v>621</v>
      </c>
      <c r="AK72" s="245" t="s">
        <v>621</v>
      </c>
      <c r="AL72" s="245" t="s">
        <v>621</v>
      </c>
      <c r="AM72" s="245" t="s">
        <v>621</v>
      </c>
      <c r="AN72" s="245" t="s">
        <v>621</v>
      </c>
      <c r="AO72" s="245" t="str">
        <f>AH72</f>
        <v>нд</v>
      </c>
      <c r="AP72" s="245">
        <v>1</v>
      </c>
      <c r="AQ72" s="245" t="s">
        <v>621</v>
      </c>
      <c r="AR72" s="245" t="s">
        <v>621</v>
      </c>
      <c r="AS72" s="245" t="s">
        <v>621</v>
      </c>
      <c r="AT72" s="245" t="s">
        <v>621</v>
      </c>
      <c r="AU72" s="509" t="s">
        <v>621</v>
      </c>
      <c r="AV72" s="512" t="s">
        <v>621</v>
      </c>
      <c r="AW72" s="500" t="s">
        <v>621</v>
      </c>
      <c r="AX72" s="245" t="s">
        <v>621</v>
      </c>
      <c r="AY72" s="245" t="s">
        <v>621</v>
      </c>
      <c r="AZ72" s="350" t="s">
        <v>621</v>
      </c>
      <c r="BA72" s="245" t="s">
        <v>621</v>
      </c>
      <c r="BB72" s="245" t="s">
        <v>621</v>
      </c>
      <c r="BC72" s="245" t="str">
        <f t="shared" si="29"/>
        <v>нд</v>
      </c>
      <c r="BD72" s="245" t="s">
        <v>621</v>
      </c>
      <c r="BE72" s="245" t="s">
        <v>621</v>
      </c>
      <c r="BF72" s="245" t="s">
        <v>621</v>
      </c>
      <c r="BG72" s="245" t="s">
        <v>621</v>
      </c>
      <c r="BH72" s="245" t="s">
        <v>621</v>
      </c>
      <c r="BI72" s="497" t="s">
        <v>621</v>
      </c>
      <c r="BJ72" s="512" t="s">
        <v>621</v>
      </c>
      <c r="BK72" s="500" t="s">
        <v>621</v>
      </c>
      <c r="BL72" s="245" t="s">
        <v>621</v>
      </c>
      <c r="BM72" s="245" t="s">
        <v>621</v>
      </c>
      <c r="BN72" s="350" t="s">
        <v>621</v>
      </c>
      <c r="BO72" s="245" t="s">
        <v>621</v>
      </c>
      <c r="BP72" s="245" t="s">
        <v>621</v>
      </c>
      <c r="BQ72" s="245" t="s">
        <v>621</v>
      </c>
      <c r="BR72" s="245" t="s">
        <v>621</v>
      </c>
      <c r="BS72" s="245" t="str">
        <f>BL72</f>
        <v>нд</v>
      </c>
      <c r="BT72" s="245" t="s">
        <v>621</v>
      </c>
      <c r="BU72" s="245" t="s">
        <v>621</v>
      </c>
      <c r="BV72" s="245" t="s">
        <v>621</v>
      </c>
      <c r="BW72" s="509" t="s">
        <v>621</v>
      </c>
      <c r="BX72" s="512" t="s">
        <v>621</v>
      </c>
      <c r="BY72" s="584" t="s">
        <v>621</v>
      </c>
      <c r="BZ72" s="245" t="s">
        <v>621</v>
      </c>
      <c r="CA72" s="245" t="s">
        <v>621</v>
      </c>
      <c r="CB72" s="262" t="s">
        <v>621</v>
      </c>
      <c r="CC72" s="245" t="s">
        <v>621</v>
      </c>
      <c r="CD72" s="245" t="s">
        <v>621</v>
      </c>
      <c r="CE72" s="245" t="s">
        <v>621</v>
      </c>
      <c r="CF72" s="585" t="str">
        <f>BY72</f>
        <v>нд</v>
      </c>
      <c r="CG72" s="245" t="s">
        <v>621</v>
      </c>
      <c r="CH72" s="245" t="s">
        <v>621</v>
      </c>
      <c r="CI72" s="245" t="s">
        <v>621</v>
      </c>
      <c r="CJ72" s="245" t="s">
        <v>621</v>
      </c>
      <c r="CK72" s="586" t="str">
        <f>CD72</f>
        <v>нд</v>
      </c>
      <c r="CL72" s="512" t="s">
        <v>621</v>
      </c>
      <c r="CM72" s="587">
        <v>0</v>
      </c>
      <c r="CN72" s="245" t="s">
        <v>621</v>
      </c>
      <c r="CO72" s="245" t="s">
        <v>621</v>
      </c>
      <c r="CP72" s="262" t="s">
        <v>621</v>
      </c>
      <c r="CQ72" s="245" t="s">
        <v>621</v>
      </c>
      <c r="CR72" s="584">
        <v>2</v>
      </c>
      <c r="CS72" s="512" t="s">
        <v>621</v>
      </c>
      <c r="CT72" s="246" t="e">
        <f>'3 (цены без НДС)'!#REF!</f>
        <v>#REF!</v>
      </c>
      <c r="CU72" s="245" t="str">
        <f t="shared" si="31"/>
        <v>нд</v>
      </c>
      <c r="CV72" s="245" t="s">
        <v>621</v>
      </c>
      <c r="CW72" s="245" t="s">
        <v>621</v>
      </c>
      <c r="CX72" s="245" t="s">
        <v>621</v>
      </c>
      <c r="CY72" s="509">
        <f t="shared" si="32"/>
        <v>2</v>
      </c>
      <c r="CZ72" s="500" t="s">
        <v>621</v>
      </c>
    </row>
    <row r="73" spans="1:105" s="312" customFormat="1" ht="40.5" customHeight="1" x14ac:dyDescent="0.3">
      <c r="A73" s="1042" t="s">
        <v>920</v>
      </c>
      <c r="B73" s="923" t="s">
        <v>1717</v>
      </c>
      <c r="C73" s="1027" t="s">
        <v>1735</v>
      </c>
      <c r="D73" s="1028">
        <v>0</v>
      </c>
      <c r="E73" s="1003">
        <f>'3 (цены без НДС)'!P70</f>
        <v>10.82</v>
      </c>
      <c r="F73" s="1031" t="s">
        <v>621</v>
      </c>
      <c r="G73" s="668" t="s">
        <v>621</v>
      </c>
      <c r="H73" s="668" t="s">
        <v>621</v>
      </c>
      <c r="I73" s="668" t="s">
        <v>621</v>
      </c>
      <c r="J73" s="668" t="s">
        <v>621</v>
      </c>
      <c r="K73" s="245" t="s">
        <v>621</v>
      </c>
      <c r="L73" s="245" t="s">
        <v>621</v>
      </c>
      <c r="M73" s="245" t="s">
        <v>621</v>
      </c>
      <c r="N73" s="245" t="s">
        <v>621</v>
      </c>
      <c r="O73" s="245" t="s">
        <v>621</v>
      </c>
      <c r="P73" s="245" t="s">
        <v>621</v>
      </c>
      <c r="Q73" s="245" t="s">
        <v>621</v>
      </c>
      <c r="R73" s="245" t="s">
        <v>621</v>
      </c>
      <c r="S73" s="509" t="s">
        <v>621</v>
      </c>
      <c r="T73" s="512" t="s">
        <v>621</v>
      </c>
      <c r="U73" s="245" t="s">
        <v>621</v>
      </c>
      <c r="V73" s="245" t="s">
        <v>621</v>
      </c>
      <c r="W73" s="245" t="s">
        <v>621</v>
      </c>
      <c r="X73" s="350" t="s">
        <v>621</v>
      </c>
      <c r="Y73" s="245" t="s">
        <v>621</v>
      </c>
      <c r="Z73" s="245" t="s">
        <v>621</v>
      </c>
      <c r="AA73" s="246" t="str">
        <f>T73</f>
        <v>нд</v>
      </c>
      <c r="AB73" s="246" t="s">
        <v>621</v>
      </c>
      <c r="AC73" s="245" t="s">
        <v>621</v>
      </c>
      <c r="AD73" s="245" t="s">
        <v>621</v>
      </c>
      <c r="AE73" s="245" t="s">
        <v>621</v>
      </c>
      <c r="AF73" s="245" t="s">
        <v>621</v>
      </c>
      <c r="AG73" s="509" t="s">
        <v>621</v>
      </c>
      <c r="AH73" s="500" t="s">
        <v>621</v>
      </c>
      <c r="AI73" s="245">
        <v>0</v>
      </c>
      <c r="AJ73" s="245" t="s">
        <v>621</v>
      </c>
      <c r="AK73" s="245" t="s">
        <v>621</v>
      </c>
      <c r="AL73" s="245" t="s">
        <v>621</v>
      </c>
      <c r="AM73" s="245" t="s">
        <v>621</v>
      </c>
      <c r="AN73" s="245" t="s">
        <v>621</v>
      </c>
      <c r="AO73" s="245" t="str">
        <f>AH73</f>
        <v>нд</v>
      </c>
      <c r="AP73" s="245">
        <v>0</v>
      </c>
      <c r="AQ73" s="245" t="s">
        <v>621</v>
      </c>
      <c r="AR73" s="245" t="s">
        <v>621</v>
      </c>
      <c r="AS73" s="245" t="s">
        <v>621</v>
      </c>
      <c r="AT73" s="245" t="s">
        <v>621</v>
      </c>
      <c r="AU73" s="509" t="s">
        <v>621</v>
      </c>
      <c r="AV73" s="512" t="s">
        <v>621</v>
      </c>
      <c r="AW73" s="500" t="s">
        <v>621</v>
      </c>
      <c r="AX73" s="245" t="s">
        <v>621</v>
      </c>
      <c r="AY73" s="245" t="s">
        <v>621</v>
      </c>
      <c r="AZ73" s="350" t="s">
        <v>621</v>
      </c>
      <c r="BA73" s="245" t="s">
        <v>621</v>
      </c>
      <c r="BB73" s="245" t="s">
        <v>621</v>
      </c>
      <c r="BC73" s="245" t="str">
        <f t="shared" si="29"/>
        <v>нд</v>
      </c>
      <c r="BD73" s="246">
        <f>E73</f>
        <v>10.82</v>
      </c>
      <c r="BE73" s="246" t="str">
        <f>CU73</f>
        <v>нд</v>
      </c>
      <c r="BF73" s="245" t="s">
        <v>621</v>
      </c>
      <c r="BG73" s="245" t="s">
        <v>621</v>
      </c>
      <c r="BH73" s="245" t="s">
        <v>621</v>
      </c>
      <c r="BI73" s="497">
        <v>11</v>
      </c>
      <c r="BJ73" s="512" t="s">
        <v>621</v>
      </c>
      <c r="BK73" s="500">
        <v>0</v>
      </c>
      <c r="BL73" s="245" t="s">
        <v>621</v>
      </c>
      <c r="BM73" s="245" t="s">
        <v>621</v>
      </c>
      <c r="BN73" s="350" t="s">
        <v>621</v>
      </c>
      <c r="BO73" s="245" t="s">
        <v>621</v>
      </c>
      <c r="BP73" s="245" t="s">
        <v>621</v>
      </c>
      <c r="BQ73" s="245" t="s">
        <v>621</v>
      </c>
      <c r="BR73" s="246" t="str">
        <f>AW73</f>
        <v>нд</v>
      </c>
      <c r="BS73" s="245" t="str">
        <f>BL73</f>
        <v>нд</v>
      </c>
      <c r="BT73" s="245" t="s">
        <v>621</v>
      </c>
      <c r="BU73" s="245"/>
      <c r="BV73" s="245" t="s">
        <v>621</v>
      </c>
      <c r="BW73" s="509"/>
      <c r="BX73" s="512" t="s">
        <v>621</v>
      </c>
      <c r="BY73" s="1022" t="s">
        <v>621</v>
      </c>
      <c r="BZ73" s="1022" t="s">
        <v>621</v>
      </c>
      <c r="CA73" s="1022" t="s">
        <v>621</v>
      </c>
      <c r="CB73" s="1022" t="s">
        <v>621</v>
      </c>
      <c r="CC73" s="1022" t="s">
        <v>621</v>
      </c>
      <c r="CD73" s="1022" t="s">
        <v>621</v>
      </c>
      <c r="CE73" s="1022" t="s">
        <v>621</v>
      </c>
      <c r="CF73" s="1022" t="s">
        <v>621</v>
      </c>
      <c r="CG73" s="1022" t="s">
        <v>621</v>
      </c>
      <c r="CH73" s="1022" t="s">
        <v>621</v>
      </c>
      <c r="CI73" s="1022" t="s">
        <v>621</v>
      </c>
      <c r="CJ73" s="1022" t="s">
        <v>621</v>
      </c>
      <c r="CK73" s="1022" t="s">
        <v>621</v>
      </c>
      <c r="CL73" s="512" t="s">
        <v>621</v>
      </c>
      <c r="CM73" s="1021" t="s">
        <v>621</v>
      </c>
      <c r="CN73" s="1021" t="s">
        <v>621</v>
      </c>
      <c r="CO73" s="1021" t="s">
        <v>621</v>
      </c>
      <c r="CP73" s="1021" t="s">
        <v>621</v>
      </c>
      <c r="CQ73" s="1021" t="s">
        <v>621</v>
      </c>
      <c r="CR73" s="1021" t="s">
        <v>621</v>
      </c>
      <c r="CS73" s="512" t="s">
        <v>621</v>
      </c>
      <c r="CT73" s="246" t="e">
        <f>'3 (цены без НДС)'!#REF!</f>
        <v>#REF!</v>
      </c>
      <c r="CU73" s="245" t="str">
        <f t="shared" si="31"/>
        <v>нд</v>
      </c>
      <c r="CV73" s="245" t="s">
        <v>621</v>
      </c>
      <c r="CW73" s="245" t="s">
        <v>621</v>
      </c>
      <c r="CX73" s="245" t="s">
        <v>621</v>
      </c>
      <c r="CY73" s="509">
        <v>11</v>
      </c>
      <c r="CZ73" s="500" t="s">
        <v>621</v>
      </c>
    </row>
    <row r="74" spans="1:105" s="312" customFormat="1" ht="28.5" customHeight="1" x14ac:dyDescent="0.3">
      <c r="A74" s="1042" t="s">
        <v>921</v>
      </c>
      <c r="B74" s="923" t="s">
        <v>1718</v>
      </c>
      <c r="C74" s="1027" t="s">
        <v>1731</v>
      </c>
      <c r="D74" s="1028">
        <v>0</v>
      </c>
      <c r="E74" s="1003">
        <f>'3 (цены без НДС)'!P71</f>
        <v>2.83</v>
      </c>
      <c r="F74" s="1031" t="s">
        <v>621</v>
      </c>
      <c r="G74" s="668" t="s">
        <v>621</v>
      </c>
      <c r="H74" s="668" t="s">
        <v>621</v>
      </c>
      <c r="I74" s="668" t="s">
        <v>621</v>
      </c>
      <c r="J74" s="668" t="s">
        <v>621</v>
      </c>
      <c r="K74" s="245" t="s">
        <v>621</v>
      </c>
      <c r="L74" s="245" t="s">
        <v>621</v>
      </c>
      <c r="M74" s="245" t="s">
        <v>621</v>
      </c>
      <c r="N74" s="245" t="s">
        <v>621</v>
      </c>
      <c r="O74" s="245" t="s">
        <v>621</v>
      </c>
      <c r="P74" s="245" t="s">
        <v>621</v>
      </c>
      <c r="Q74" s="245" t="s">
        <v>621</v>
      </c>
      <c r="R74" s="245" t="s">
        <v>621</v>
      </c>
      <c r="S74" s="509" t="s">
        <v>621</v>
      </c>
      <c r="T74" s="512" t="s">
        <v>621</v>
      </c>
      <c r="U74" s="245" t="s">
        <v>621</v>
      </c>
      <c r="V74" s="245" t="s">
        <v>621</v>
      </c>
      <c r="W74" s="245" t="s">
        <v>621</v>
      </c>
      <c r="X74" s="350" t="s">
        <v>621</v>
      </c>
      <c r="Y74" s="245" t="s">
        <v>621</v>
      </c>
      <c r="Z74" s="245" t="s">
        <v>621</v>
      </c>
      <c r="AA74" s="246" t="str">
        <f>T74</f>
        <v>нд</v>
      </c>
      <c r="AB74" s="246" t="s">
        <v>621</v>
      </c>
      <c r="AC74" s="245" t="s">
        <v>621</v>
      </c>
      <c r="AD74" s="245" t="s">
        <v>621</v>
      </c>
      <c r="AE74" s="245" t="s">
        <v>621</v>
      </c>
      <c r="AF74" s="245" t="s">
        <v>621</v>
      </c>
      <c r="AG74" s="509" t="s">
        <v>621</v>
      </c>
      <c r="AH74" s="500" t="s">
        <v>621</v>
      </c>
      <c r="AI74" s="245">
        <v>0</v>
      </c>
      <c r="AJ74" s="245" t="s">
        <v>621</v>
      </c>
      <c r="AK74" s="245" t="s">
        <v>621</v>
      </c>
      <c r="AL74" s="245" t="s">
        <v>621</v>
      </c>
      <c r="AM74" s="245" t="s">
        <v>621</v>
      </c>
      <c r="AN74" s="245" t="s">
        <v>621</v>
      </c>
      <c r="AO74" s="245" t="str">
        <f>AH74</f>
        <v>нд</v>
      </c>
      <c r="AP74" s="245">
        <v>0</v>
      </c>
      <c r="AQ74" s="245" t="s">
        <v>621</v>
      </c>
      <c r="AR74" s="245" t="s">
        <v>621</v>
      </c>
      <c r="AS74" s="245" t="s">
        <v>621</v>
      </c>
      <c r="AT74" s="245" t="s">
        <v>621</v>
      </c>
      <c r="AU74" s="509" t="s">
        <v>621</v>
      </c>
      <c r="AV74" s="512" t="s">
        <v>621</v>
      </c>
      <c r="AW74" s="500" t="s">
        <v>621</v>
      </c>
      <c r="AX74" s="245" t="s">
        <v>621</v>
      </c>
      <c r="AY74" s="245" t="s">
        <v>621</v>
      </c>
      <c r="AZ74" s="350" t="s">
        <v>621</v>
      </c>
      <c r="BA74" s="245" t="s">
        <v>621</v>
      </c>
      <c r="BB74" s="245" t="s">
        <v>621</v>
      </c>
      <c r="BC74" s="245" t="str">
        <f t="shared" si="29"/>
        <v>нд</v>
      </c>
      <c r="BD74" s="246">
        <f>E74</f>
        <v>2.83</v>
      </c>
      <c r="BE74" s="246">
        <v>1.26</v>
      </c>
      <c r="BF74" s="245" t="s">
        <v>621</v>
      </c>
      <c r="BG74" s="245" t="s">
        <v>621</v>
      </c>
      <c r="BH74" s="245" t="s">
        <v>621</v>
      </c>
      <c r="BI74" s="497" t="s">
        <v>621</v>
      </c>
      <c r="BJ74" s="512" t="s">
        <v>621</v>
      </c>
      <c r="BK74" s="500">
        <v>0</v>
      </c>
      <c r="BL74" s="245" t="s">
        <v>621</v>
      </c>
      <c r="BM74" s="245" t="s">
        <v>621</v>
      </c>
      <c r="BN74" s="350" t="s">
        <v>621</v>
      </c>
      <c r="BO74" s="245" t="s">
        <v>621</v>
      </c>
      <c r="BP74" s="245" t="s">
        <v>621</v>
      </c>
      <c r="BQ74" s="245" t="s">
        <v>621</v>
      </c>
      <c r="BR74" s="246" t="str">
        <f>AW74</f>
        <v>нд</v>
      </c>
      <c r="BS74" s="245" t="str">
        <f>BL74</f>
        <v>нд</v>
      </c>
      <c r="BT74" s="245" t="s">
        <v>621</v>
      </c>
      <c r="BU74" s="245"/>
      <c r="BV74" s="245" t="s">
        <v>621</v>
      </c>
      <c r="BW74" s="509"/>
      <c r="BX74" s="512" t="s">
        <v>621</v>
      </c>
      <c r="BY74" s="1022" t="s">
        <v>621</v>
      </c>
      <c r="BZ74" s="1022" t="s">
        <v>621</v>
      </c>
      <c r="CA74" s="1022" t="s">
        <v>621</v>
      </c>
      <c r="CB74" s="1022" t="s">
        <v>621</v>
      </c>
      <c r="CC74" s="1022" t="s">
        <v>621</v>
      </c>
      <c r="CD74" s="1022" t="s">
        <v>621</v>
      </c>
      <c r="CE74" s="1022" t="s">
        <v>621</v>
      </c>
      <c r="CF74" s="1022" t="s">
        <v>621</v>
      </c>
      <c r="CG74" s="1022" t="s">
        <v>621</v>
      </c>
      <c r="CH74" s="1022" t="s">
        <v>621</v>
      </c>
      <c r="CI74" s="1022" t="s">
        <v>621</v>
      </c>
      <c r="CJ74" s="1022" t="s">
        <v>621</v>
      </c>
      <c r="CK74" s="1022" t="s">
        <v>621</v>
      </c>
      <c r="CL74" s="512" t="s">
        <v>621</v>
      </c>
      <c r="CM74" s="1021" t="s">
        <v>621</v>
      </c>
      <c r="CN74" s="1021" t="s">
        <v>621</v>
      </c>
      <c r="CO74" s="1021" t="s">
        <v>621</v>
      </c>
      <c r="CP74" s="1021" t="s">
        <v>621</v>
      </c>
      <c r="CQ74" s="1021" t="s">
        <v>621</v>
      </c>
      <c r="CR74" s="1021" t="s">
        <v>621</v>
      </c>
      <c r="CS74" s="512" t="s">
        <v>621</v>
      </c>
      <c r="CT74" s="246">
        <f>'3 (цены без НДС)'!P70</f>
        <v>10.82</v>
      </c>
      <c r="CU74" s="1022">
        <v>1.26</v>
      </c>
      <c r="CV74" s="245" t="s">
        <v>621</v>
      </c>
      <c r="CW74" s="245" t="s">
        <v>621</v>
      </c>
      <c r="CX74" s="245" t="s">
        <v>621</v>
      </c>
      <c r="CY74" s="509">
        <v>0</v>
      </c>
      <c r="CZ74" s="500" t="s">
        <v>621</v>
      </c>
    </row>
    <row r="75" spans="1:105" ht="30.75" x14ac:dyDescent="0.3">
      <c r="A75" s="1033" t="s">
        <v>741</v>
      </c>
      <c r="B75" s="148" t="s">
        <v>1653</v>
      </c>
      <c r="C75" s="261" t="s">
        <v>621</v>
      </c>
      <c r="D75" s="244">
        <v>13.66</v>
      </c>
      <c r="E75" s="1004">
        <v>13.66</v>
      </c>
      <c r="F75" s="506" t="e">
        <f>F76</f>
        <v>#REF!</v>
      </c>
      <c r="G75" s="244" t="e">
        <f>G76</f>
        <v>#REF!</v>
      </c>
      <c r="H75" s="244" t="s">
        <v>621</v>
      </c>
      <c r="I75" s="244" t="s">
        <v>621</v>
      </c>
      <c r="J75" s="244" t="s">
        <v>621</v>
      </c>
      <c r="K75" s="244" t="s">
        <v>621</v>
      </c>
      <c r="L75" s="244" t="s">
        <v>621</v>
      </c>
      <c r="M75" s="244" t="s">
        <v>621</v>
      </c>
      <c r="N75" s="244" t="s">
        <v>621</v>
      </c>
      <c r="O75" s="244" t="s">
        <v>621</v>
      </c>
      <c r="P75" s="244" t="s">
        <v>621</v>
      </c>
      <c r="Q75" s="244" t="s">
        <v>621</v>
      </c>
      <c r="R75" s="244" t="s">
        <v>621</v>
      </c>
      <c r="S75" s="1004" t="s">
        <v>621</v>
      </c>
      <c r="T75" s="506" t="s">
        <v>621</v>
      </c>
      <c r="U75" s="244" t="s">
        <v>621</v>
      </c>
      <c r="V75" s="244" t="s">
        <v>621</v>
      </c>
      <c r="W75" s="244" t="s">
        <v>621</v>
      </c>
      <c r="X75" s="244" t="s">
        <v>621</v>
      </c>
      <c r="Y75" s="244" t="s">
        <v>621</v>
      </c>
      <c r="Z75" s="244" t="s">
        <v>621</v>
      </c>
      <c r="AA75" s="244" t="s">
        <v>621</v>
      </c>
      <c r="AB75" s="244">
        <v>0</v>
      </c>
      <c r="AC75" s="244" t="s">
        <v>621</v>
      </c>
      <c r="AD75" s="244" t="s">
        <v>621</v>
      </c>
      <c r="AE75" s="244" t="s">
        <v>621</v>
      </c>
      <c r="AF75" s="244" t="s">
        <v>621</v>
      </c>
      <c r="AG75" s="1004" t="s">
        <v>621</v>
      </c>
      <c r="AH75" s="567" t="s">
        <v>621</v>
      </c>
      <c r="AI75" s="244">
        <v>13.66</v>
      </c>
      <c r="AJ75" s="244" t="s">
        <v>621</v>
      </c>
      <c r="AK75" s="244" t="s">
        <v>621</v>
      </c>
      <c r="AL75" s="244" t="s">
        <v>621</v>
      </c>
      <c r="AM75" s="244" t="s">
        <v>621</v>
      </c>
      <c r="AN75" s="244">
        <v>6</v>
      </c>
      <c r="AO75" s="243" t="str">
        <f>AH75</f>
        <v>нд</v>
      </c>
      <c r="AP75" s="243">
        <f>AP76</f>
        <v>13.66</v>
      </c>
      <c r="AQ75" s="243" t="s">
        <v>621</v>
      </c>
      <c r="AR75" s="243" t="s">
        <v>621</v>
      </c>
      <c r="AS75" s="243" t="s">
        <v>621</v>
      </c>
      <c r="AT75" s="243" t="s">
        <v>621</v>
      </c>
      <c r="AU75" s="243">
        <v>6</v>
      </c>
      <c r="AV75" s="243" t="s">
        <v>621</v>
      </c>
      <c r="AW75" s="243" t="s">
        <v>621</v>
      </c>
      <c r="AX75" s="243" t="s">
        <v>621</v>
      </c>
      <c r="AY75" s="243" t="s">
        <v>621</v>
      </c>
      <c r="AZ75" s="243" t="s">
        <v>621</v>
      </c>
      <c r="BA75" s="243" t="s">
        <v>621</v>
      </c>
      <c r="BB75" s="243" t="s">
        <v>621</v>
      </c>
      <c r="BC75" s="243" t="s">
        <v>621</v>
      </c>
      <c r="BD75" s="243" t="s">
        <v>621</v>
      </c>
      <c r="BE75" s="243" t="s">
        <v>621</v>
      </c>
      <c r="BF75" s="243" t="s">
        <v>621</v>
      </c>
      <c r="BG75" s="243" t="s">
        <v>621</v>
      </c>
      <c r="BH75" s="243" t="s">
        <v>621</v>
      </c>
      <c r="BI75" s="496" t="s">
        <v>621</v>
      </c>
      <c r="BJ75" s="1010" t="s">
        <v>621</v>
      </c>
      <c r="BK75" s="243" t="s">
        <v>621</v>
      </c>
      <c r="BL75" s="243" t="s">
        <v>621</v>
      </c>
      <c r="BM75" s="243" t="s">
        <v>621</v>
      </c>
      <c r="BN75" s="243" t="s">
        <v>621</v>
      </c>
      <c r="BO75" s="243" t="s">
        <v>621</v>
      </c>
      <c r="BP75" s="243" t="s">
        <v>621</v>
      </c>
      <c r="BQ75" s="243" t="s">
        <v>621</v>
      </c>
      <c r="BR75" s="243" t="s">
        <v>621</v>
      </c>
      <c r="BS75" s="243" t="s">
        <v>621</v>
      </c>
      <c r="BT75" s="243" t="s">
        <v>621</v>
      </c>
      <c r="BU75" s="243" t="s">
        <v>621</v>
      </c>
      <c r="BV75" s="243" t="s">
        <v>621</v>
      </c>
      <c r="BW75" s="507" t="s">
        <v>621</v>
      </c>
      <c r="BX75" s="1010" t="s">
        <v>621</v>
      </c>
      <c r="BY75" s="243">
        <v>0</v>
      </c>
      <c r="BZ75" s="243" t="s">
        <v>621</v>
      </c>
      <c r="CA75" s="243" t="s">
        <v>621</v>
      </c>
      <c r="CB75" s="243" t="s">
        <v>621</v>
      </c>
      <c r="CC75" s="243" t="s">
        <v>621</v>
      </c>
      <c r="CD75" s="243" t="s">
        <v>621</v>
      </c>
      <c r="CE75" s="243" t="s">
        <v>621</v>
      </c>
      <c r="CF75" s="243">
        <v>0</v>
      </c>
      <c r="CG75" s="243" t="s">
        <v>621</v>
      </c>
      <c r="CH75" s="243" t="s">
        <v>621</v>
      </c>
      <c r="CI75" s="243" t="s">
        <v>621</v>
      </c>
      <c r="CJ75" s="243" t="s">
        <v>621</v>
      </c>
      <c r="CK75" s="507" t="s">
        <v>621</v>
      </c>
      <c r="CL75" s="1010" t="s">
        <v>621</v>
      </c>
      <c r="CM75" s="243">
        <v>13.66</v>
      </c>
      <c r="CN75" s="243">
        <v>0</v>
      </c>
      <c r="CO75" s="243" t="s">
        <v>621</v>
      </c>
      <c r="CP75" s="243" t="s">
        <v>621</v>
      </c>
      <c r="CQ75" s="243" t="s">
        <v>621</v>
      </c>
      <c r="CR75" s="243">
        <v>6</v>
      </c>
      <c r="CS75" s="243" t="s">
        <v>621</v>
      </c>
      <c r="CT75" s="246">
        <f>E75</f>
        <v>13.66</v>
      </c>
      <c r="CU75" s="243">
        <v>0</v>
      </c>
      <c r="CV75" s="243" t="s">
        <v>621</v>
      </c>
      <c r="CW75" s="243" t="s">
        <v>621</v>
      </c>
      <c r="CX75" s="243" t="s">
        <v>621</v>
      </c>
      <c r="CY75" s="507">
        <v>6</v>
      </c>
      <c r="CZ75" s="513" t="s">
        <v>621</v>
      </c>
      <c r="DA75" s="656"/>
    </row>
    <row r="76" spans="1:105" ht="41.25" thickBot="1" x14ac:dyDescent="0.35">
      <c r="A76" s="1044" t="s">
        <v>741</v>
      </c>
      <c r="B76" s="1045" t="s">
        <v>1654</v>
      </c>
      <c r="C76" s="1046" t="str">
        <f>CONCATENATE("J","_",2021,"_",A76)</f>
        <v>J_2021_1.6</v>
      </c>
      <c r="D76" s="1006">
        <v>13.66</v>
      </c>
      <c r="E76" s="1007">
        <f>'3 (цены без НДС)'!AN72</f>
        <v>13.66</v>
      </c>
      <c r="F76" s="1005" t="e">
        <f>#REF!</f>
        <v>#REF!</v>
      </c>
      <c r="G76" s="1006" t="e">
        <f>#REF!</f>
        <v>#REF!</v>
      </c>
      <c r="H76" s="1006" t="s">
        <v>621</v>
      </c>
      <c r="I76" s="1006" t="s">
        <v>621</v>
      </c>
      <c r="J76" s="1006" t="s">
        <v>621</v>
      </c>
      <c r="K76" s="1006" t="s">
        <v>621</v>
      </c>
      <c r="L76" s="1006" t="s">
        <v>621</v>
      </c>
      <c r="M76" s="1006" t="s">
        <v>621</v>
      </c>
      <c r="N76" s="1006" t="s">
        <v>621</v>
      </c>
      <c r="O76" s="1006" t="s">
        <v>621</v>
      </c>
      <c r="P76" s="1006" t="s">
        <v>621</v>
      </c>
      <c r="Q76" s="1006" t="s">
        <v>621</v>
      </c>
      <c r="R76" s="1006" t="s">
        <v>621</v>
      </c>
      <c r="S76" s="1007" t="s">
        <v>621</v>
      </c>
      <c r="T76" s="1005" t="s">
        <v>621</v>
      </c>
      <c r="U76" s="1006" t="s">
        <v>621</v>
      </c>
      <c r="V76" s="1006" t="s">
        <v>621</v>
      </c>
      <c r="W76" s="1006" t="s">
        <v>621</v>
      </c>
      <c r="X76" s="1006" t="s">
        <v>621</v>
      </c>
      <c r="Y76" s="1006" t="s">
        <v>621</v>
      </c>
      <c r="Z76" s="1006" t="s">
        <v>621</v>
      </c>
      <c r="AA76" s="1006" t="s">
        <v>621</v>
      </c>
      <c r="AB76" s="1006">
        <v>0</v>
      </c>
      <c r="AC76" s="1006" t="s">
        <v>621</v>
      </c>
      <c r="AD76" s="1006" t="s">
        <v>621</v>
      </c>
      <c r="AE76" s="1006" t="s">
        <v>621</v>
      </c>
      <c r="AF76" s="1006" t="s">
        <v>621</v>
      </c>
      <c r="AG76" s="1007" t="s">
        <v>621</v>
      </c>
      <c r="AH76" s="568" t="s">
        <v>621</v>
      </c>
      <c r="AI76" s="246">
        <v>13.66</v>
      </c>
      <c r="AJ76" s="246" t="s">
        <v>621</v>
      </c>
      <c r="AK76" s="246" t="s">
        <v>621</v>
      </c>
      <c r="AL76" s="246" t="s">
        <v>621</v>
      </c>
      <c r="AM76" s="246" t="s">
        <v>621</v>
      </c>
      <c r="AN76" s="246">
        <v>6</v>
      </c>
      <c r="AO76" s="245" t="str">
        <f>AH76</f>
        <v>нд</v>
      </c>
      <c r="AP76" s="672">
        <v>13.66</v>
      </c>
      <c r="AQ76" s="245" t="s">
        <v>621</v>
      </c>
      <c r="AR76" s="245" t="s">
        <v>621</v>
      </c>
      <c r="AS76" s="245" t="s">
        <v>621</v>
      </c>
      <c r="AT76" s="245" t="s">
        <v>621</v>
      </c>
      <c r="AU76" s="672">
        <v>6</v>
      </c>
      <c r="AV76" s="245" t="s">
        <v>621</v>
      </c>
      <c r="AW76" s="245" t="s">
        <v>621</v>
      </c>
      <c r="AX76" s="245" t="s">
        <v>621</v>
      </c>
      <c r="AY76" s="245" t="s">
        <v>621</v>
      </c>
      <c r="AZ76" s="245" t="s">
        <v>621</v>
      </c>
      <c r="BA76" s="245" t="s">
        <v>621</v>
      </c>
      <c r="BB76" s="245" t="s">
        <v>621</v>
      </c>
      <c r="BC76" s="245" t="s">
        <v>621</v>
      </c>
      <c r="BD76" s="245" t="s">
        <v>621</v>
      </c>
      <c r="BE76" s="245" t="s">
        <v>621</v>
      </c>
      <c r="BF76" s="245" t="s">
        <v>621</v>
      </c>
      <c r="BG76" s="245" t="s">
        <v>621</v>
      </c>
      <c r="BH76" s="245" t="s">
        <v>621</v>
      </c>
      <c r="BI76" s="497" t="s">
        <v>621</v>
      </c>
      <c r="BJ76" s="1011" t="s">
        <v>621</v>
      </c>
      <c r="BK76" s="1012" t="s">
        <v>621</v>
      </c>
      <c r="BL76" s="1012" t="s">
        <v>621</v>
      </c>
      <c r="BM76" s="1012" t="s">
        <v>621</v>
      </c>
      <c r="BN76" s="1012" t="s">
        <v>621</v>
      </c>
      <c r="BO76" s="1012" t="s">
        <v>621</v>
      </c>
      <c r="BP76" s="1012" t="s">
        <v>621</v>
      </c>
      <c r="BQ76" s="1012" t="s">
        <v>621</v>
      </c>
      <c r="BR76" s="1012" t="s">
        <v>621</v>
      </c>
      <c r="BS76" s="1012" t="s">
        <v>621</v>
      </c>
      <c r="BT76" s="1012" t="s">
        <v>621</v>
      </c>
      <c r="BU76" s="1012" t="s">
        <v>621</v>
      </c>
      <c r="BV76" s="1012" t="s">
        <v>621</v>
      </c>
      <c r="BW76" s="1025" t="s">
        <v>621</v>
      </c>
      <c r="BX76" s="1011" t="s">
        <v>621</v>
      </c>
      <c r="BY76" s="1012">
        <v>0</v>
      </c>
      <c r="BZ76" s="1012" t="s">
        <v>621</v>
      </c>
      <c r="CA76" s="1012" t="s">
        <v>621</v>
      </c>
      <c r="CB76" s="1012" t="s">
        <v>621</v>
      </c>
      <c r="CC76" s="1012" t="s">
        <v>621</v>
      </c>
      <c r="CD76" s="1012" t="s">
        <v>621</v>
      </c>
      <c r="CE76" s="1012" t="s">
        <v>621</v>
      </c>
      <c r="CF76" s="1012">
        <v>0</v>
      </c>
      <c r="CG76" s="1012" t="s">
        <v>621</v>
      </c>
      <c r="CH76" s="1012" t="s">
        <v>621</v>
      </c>
      <c r="CI76" s="1012" t="s">
        <v>621</v>
      </c>
      <c r="CJ76" s="1012" t="s">
        <v>621</v>
      </c>
      <c r="CK76" s="1025" t="s">
        <v>621</v>
      </c>
      <c r="CL76" s="1011" t="s">
        <v>840</v>
      </c>
      <c r="CM76" s="1012">
        <v>13.66</v>
      </c>
      <c r="CN76" s="1012">
        <v>0</v>
      </c>
      <c r="CO76" s="1012" t="s">
        <v>621</v>
      </c>
      <c r="CP76" s="1012" t="s">
        <v>621</v>
      </c>
      <c r="CQ76" s="1012" t="s">
        <v>621</v>
      </c>
      <c r="CR76" s="1012">
        <v>6</v>
      </c>
      <c r="CS76" s="1013" t="s">
        <v>840</v>
      </c>
      <c r="CT76" s="1006">
        <f>E76</f>
        <v>13.66</v>
      </c>
      <c r="CU76" s="1013">
        <v>0</v>
      </c>
      <c r="CV76" s="1013" t="s">
        <v>621</v>
      </c>
      <c r="CW76" s="1013" t="s">
        <v>621</v>
      </c>
      <c r="CX76" s="1013" t="s">
        <v>621</v>
      </c>
      <c r="CY76" s="1014">
        <v>6</v>
      </c>
      <c r="CZ76" s="1009" t="s">
        <v>621</v>
      </c>
    </row>
    <row r="77" spans="1:105" ht="33" x14ac:dyDescent="0.45">
      <c r="AY77" s="237"/>
      <c r="AZ77" s="237"/>
      <c r="BA77" s="237"/>
      <c r="BB77" s="237"/>
      <c r="BC77" s="251"/>
      <c r="BD77" s="237"/>
      <c r="BE77" s="251"/>
      <c r="BF77" s="251"/>
      <c r="BG77" s="251"/>
      <c r="BH77" s="251"/>
      <c r="BI77" s="251"/>
      <c r="BJ77" s="237" t="s">
        <v>841</v>
      </c>
      <c r="BK77" s="251"/>
      <c r="BL77" s="251"/>
      <c r="BM77" s="251"/>
      <c r="BN77" s="251"/>
      <c r="BO77" s="250"/>
      <c r="BP77" s="250"/>
      <c r="BQ77" s="250"/>
      <c r="BR77" s="250"/>
      <c r="BS77" s="250"/>
      <c r="BT77" s="250"/>
      <c r="BU77" s="250"/>
      <c r="BV77" s="250"/>
      <c r="BW77" s="250"/>
      <c r="BX77" s="250"/>
      <c r="BY77" s="250"/>
      <c r="BZ77" s="250"/>
      <c r="CA77" s="250"/>
      <c r="CB77" s="250"/>
      <c r="CD77" s="250"/>
      <c r="CE77" s="250"/>
      <c r="CI77" s="237" t="s">
        <v>1652</v>
      </c>
    </row>
    <row r="78" spans="1:105" s="250" customFormat="1" ht="33" x14ac:dyDescent="0.45">
      <c r="BJ78" s="265"/>
    </row>
  </sheetData>
  <mergeCells count="45">
    <mergeCell ref="AV4:CB4"/>
    <mergeCell ref="CZ14:CZ18"/>
    <mergeCell ref="T16:Z16"/>
    <mergeCell ref="AA16:AG16"/>
    <mergeCell ref="T15:AG15"/>
    <mergeCell ref="AW17:BB17"/>
    <mergeCell ref="CT17:CY17"/>
    <mergeCell ref="AP17:AU17"/>
    <mergeCell ref="G17:L17"/>
    <mergeCell ref="N17:S17"/>
    <mergeCell ref="BR17:BW17"/>
    <mergeCell ref="BY17:CD17"/>
    <mergeCell ref="CF17:CK17"/>
    <mergeCell ref="A14:A18"/>
    <mergeCell ref="B14:B18"/>
    <mergeCell ref="C14:C18"/>
    <mergeCell ref="CL16:CR16"/>
    <mergeCell ref="BK17:BP17"/>
    <mergeCell ref="BD17:BI17"/>
    <mergeCell ref="CM17:CR17"/>
    <mergeCell ref="F14:S15"/>
    <mergeCell ref="BJ15:BW15"/>
    <mergeCell ref="BJ16:BP16"/>
    <mergeCell ref="BQ16:BW16"/>
    <mergeCell ref="D17:D18"/>
    <mergeCell ref="E17:E18"/>
    <mergeCell ref="U17:Z17"/>
    <mergeCell ref="AB17:AG17"/>
    <mergeCell ref="AI17:AN17"/>
    <mergeCell ref="D14:E16"/>
    <mergeCell ref="F16:L16"/>
    <mergeCell ref="M16:S16"/>
    <mergeCell ref="CL15:CY15"/>
    <mergeCell ref="AV15:BI15"/>
    <mergeCell ref="AV16:BB16"/>
    <mergeCell ref="AH15:AU15"/>
    <mergeCell ref="T14:AG14"/>
    <mergeCell ref="AH14:CY14"/>
    <mergeCell ref="BC16:BI16"/>
    <mergeCell ref="CS16:CY16"/>
    <mergeCell ref="AH16:AN16"/>
    <mergeCell ref="AO16:AU16"/>
    <mergeCell ref="BX15:CK15"/>
    <mergeCell ref="BX16:CD16"/>
    <mergeCell ref="CE16:CK16"/>
  </mergeCells>
  <pageMargins left="0" right="0" top="0" bottom="0" header="0.31496062992125984" footer="0.31496062992125984"/>
  <pageSetup paperSize="8" scale="27" fitToWidth="2" fitToHeight="2" orientation="landscape" r:id="rId1"/>
  <headerFooter differentFirst="1">
    <oddHeader>&amp;C&amp;P</oddHeader>
  </headerFooter>
  <rowBreaks count="1" manualBreakCount="1">
    <brk id="55" max="103" man="1"/>
  </rowBreaks>
  <colBreaks count="1" manualBreakCount="1">
    <brk id="61" max="7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44"/>
  <sheetViews>
    <sheetView view="pageBreakPreview" topLeftCell="A7" zoomScale="55" zoomScaleNormal="70" zoomScaleSheetLayoutView="55" workbookViewId="0">
      <selection activeCell="A10" sqref="A10:AL10"/>
    </sheetView>
  </sheetViews>
  <sheetFormatPr defaultRowHeight="20.25" x14ac:dyDescent="0.3"/>
  <cols>
    <col min="1" max="1" width="11.625" style="133" customWidth="1"/>
    <col min="2" max="2" width="65" style="133" customWidth="1"/>
    <col min="3" max="3" width="23.875" style="133" customWidth="1"/>
    <col min="4" max="4" width="12.75" style="133" customWidth="1"/>
    <col min="5" max="5" width="6.125" style="133" customWidth="1"/>
    <col min="6" max="10" width="6" style="133" customWidth="1"/>
    <col min="11" max="11" width="13.25" style="133" customWidth="1"/>
    <col min="12" max="17" width="6" style="133" customWidth="1"/>
    <col min="18" max="18" width="18" style="133" customWidth="1"/>
    <col min="19" max="19" width="15.25" style="133" customWidth="1"/>
    <col min="20" max="20" width="9.75" style="133" customWidth="1"/>
    <col min="21" max="21" width="11.625" style="133" customWidth="1"/>
    <col min="22" max="22" width="12.875" style="133" customWidth="1"/>
    <col min="23" max="23" width="11" style="133" customWidth="1"/>
    <col min="24" max="24" width="10.125" style="133" customWidth="1"/>
    <col min="25" max="25" width="12.125" style="133" customWidth="1"/>
    <col min="26" max="31" width="6" style="133" customWidth="1"/>
    <col min="32" max="32" width="12.125" style="133" customWidth="1"/>
    <col min="33" max="33" width="12.375" style="133" customWidth="1"/>
    <col min="34" max="34" width="15.125" style="133" customWidth="1"/>
    <col min="35" max="35" width="11" style="133" customWidth="1"/>
    <col min="36" max="36" width="17.375" style="133" bestFit="1" customWidth="1"/>
    <col min="37" max="37" width="9.5" style="133" customWidth="1"/>
    <col min="38" max="38" width="18.625" style="133" customWidth="1"/>
    <col min="39" max="39" width="3.5" style="133" customWidth="1"/>
    <col min="40" max="40" width="5.75" style="133" customWidth="1"/>
    <col min="41" max="41" width="16.125" style="133" customWidth="1"/>
    <col min="42" max="42" width="21.25" style="133" customWidth="1"/>
    <col min="43" max="43" width="12.625" style="133" customWidth="1"/>
    <col min="44" max="44" width="22.375" style="133" customWidth="1"/>
    <col min="45" max="45" width="10.875" style="133" customWidth="1"/>
    <col min="46" max="46" width="17.375" style="133" customWidth="1"/>
    <col min="47" max="48" width="4.125" style="133" customWidth="1"/>
    <col min="49" max="49" width="3.75" style="133" customWidth="1"/>
    <col min="50" max="50" width="3.875" style="133" customWidth="1"/>
    <col min="51" max="51" width="4.5" style="133" customWidth="1"/>
    <col min="52" max="52" width="5" style="133" customWidth="1"/>
    <col min="53" max="53" width="5.5" style="133" customWidth="1"/>
    <col min="54" max="54" width="5.75" style="133" customWidth="1"/>
    <col min="55" max="55" width="5.5" style="133" customWidth="1"/>
    <col min="56" max="57" width="5" style="133" customWidth="1"/>
    <col min="58" max="58" width="12.875" style="133" customWidth="1"/>
    <col min="59" max="68" width="5" style="133" customWidth="1"/>
    <col min="69" max="16384" width="9" style="133"/>
  </cols>
  <sheetData>
    <row r="1" spans="1:67" x14ac:dyDescent="0.3">
      <c r="O1" s="132"/>
      <c r="P1" s="132"/>
      <c r="Q1" s="132"/>
      <c r="R1" s="132"/>
      <c r="S1" s="132"/>
      <c r="T1" s="132"/>
      <c r="U1" s="132"/>
      <c r="V1" s="132"/>
      <c r="W1" s="132"/>
      <c r="X1" s="132"/>
      <c r="Y1" s="132"/>
      <c r="Z1" s="132"/>
      <c r="AA1" s="132"/>
      <c r="AB1" s="132"/>
      <c r="AC1" s="132"/>
      <c r="AL1" s="138" t="s">
        <v>348</v>
      </c>
    </row>
    <row r="2" spans="1:67" x14ac:dyDescent="0.3">
      <c r="O2" s="132"/>
      <c r="P2" s="132"/>
      <c r="Q2" s="132"/>
      <c r="R2" s="132"/>
      <c r="S2" s="132"/>
      <c r="T2" s="132"/>
      <c r="U2" s="132"/>
      <c r="V2" s="132"/>
      <c r="W2" s="132"/>
      <c r="X2" s="132"/>
      <c r="Y2" s="132"/>
      <c r="Z2" s="132"/>
      <c r="AA2" s="132"/>
      <c r="AB2" s="132"/>
      <c r="AC2" s="132"/>
      <c r="AL2" s="140" t="s">
        <v>1</v>
      </c>
    </row>
    <row r="3" spans="1:67" x14ac:dyDescent="0.3">
      <c r="O3" s="132"/>
      <c r="P3" s="132"/>
      <c r="Q3" s="132"/>
      <c r="R3" s="132"/>
      <c r="S3" s="132"/>
      <c r="T3" s="132"/>
      <c r="U3" s="132"/>
      <c r="V3" s="132"/>
      <c r="W3" s="132"/>
      <c r="X3" s="132"/>
      <c r="Y3" s="132"/>
      <c r="Z3" s="132"/>
      <c r="AA3" s="132"/>
      <c r="AB3" s="132"/>
      <c r="AC3" s="132"/>
      <c r="AL3" s="140" t="s">
        <v>265</v>
      </c>
    </row>
    <row r="4" spans="1:67" x14ac:dyDescent="0.3">
      <c r="A4" s="1213" t="s">
        <v>395</v>
      </c>
      <c r="B4" s="1213"/>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row>
    <row r="5" spans="1:67" x14ac:dyDescent="0.3">
      <c r="A5" s="1220" t="s">
        <v>845</v>
      </c>
      <c r="B5" s="1220"/>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row>
    <row r="6" spans="1:67" x14ac:dyDescent="0.3">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67" s="129" customFormat="1" ht="21.75" customHeight="1" x14ac:dyDescent="0.3">
      <c r="A7" s="1158" t="s">
        <v>842</v>
      </c>
      <c r="B7" s="1158"/>
      <c r="C7" s="1158"/>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c r="AJ7" s="1158"/>
      <c r="AK7" s="1158"/>
      <c r="AL7" s="1158"/>
      <c r="AM7" s="135"/>
      <c r="AN7" s="135"/>
      <c r="AO7" s="135"/>
      <c r="AP7" s="135"/>
      <c r="AQ7" s="135"/>
      <c r="AR7" s="135"/>
      <c r="AS7" s="135"/>
    </row>
    <row r="8" spans="1:67" s="129" customFormat="1" ht="25.5" customHeight="1" x14ac:dyDescent="0.3">
      <c r="A8" s="1159" t="s">
        <v>313</v>
      </c>
      <c r="B8" s="1159"/>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85"/>
      <c r="AN8" s="185"/>
      <c r="AO8" s="185"/>
      <c r="AP8" s="185"/>
      <c r="AQ8" s="185"/>
      <c r="AR8" s="185"/>
      <c r="AS8" s="185"/>
    </row>
    <row r="9" spans="1:67" s="129" customFormat="1" x14ac:dyDescent="0.3">
      <c r="A9" s="1221"/>
      <c r="B9" s="1221"/>
      <c r="C9" s="1221"/>
      <c r="D9" s="1221"/>
      <c r="E9" s="1221"/>
      <c r="F9" s="1221"/>
      <c r="G9" s="1221"/>
      <c r="H9" s="1221"/>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J9" s="1221"/>
      <c r="AK9" s="1221"/>
      <c r="AL9" s="1221"/>
    </row>
    <row r="10" spans="1:67" s="129" customFormat="1" ht="24" customHeight="1" x14ac:dyDescent="0.3">
      <c r="A10" s="1158" t="s">
        <v>938</v>
      </c>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1158"/>
      <c r="AJ10" s="1158"/>
      <c r="AK10" s="1158"/>
      <c r="AL10" s="1158"/>
      <c r="AM10" s="135"/>
      <c r="AN10" s="135"/>
      <c r="AO10" s="135"/>
      <c r="AP10" s="135"/>
      <c r="AQ10" s="135"/>
      <c r="AR10" s="135"/>
      <c r="AS10" s="135"/>
    </row>
    <row r="11" spans="1:67" x14ac:dyDescent="0.3">
      <c r="A11" s="1220" t="s">
        <v>939</v>
      </c>
      <c r="B11" s="1220"/>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1220"/>
      <c r="AJ11" s="1220"/>
      <c r="AK11" s="1220"/>
      <c r="AL11" s="1220"/>
      <c r="AM11" s="162"/>
      <c r="AN11" s="162"/>
      <c r="AO11" s="162"/>
      <c r="AP11" s="162"/>
      <c r="AQ11" s="162"/>
      <c r="AR11" s="162"/>
      <c r="AS11" s="162"/>
      <c r="AT11" s="162"/>
      <c r="AU11" s="162"/>
      <c r="AV11" s="162"/>
      <c r="AW11" s="162"/>
      <c r="AX11" s="162"/>
    </row>
    <row r="12" spans="1:67" x14ac:dyDescent="0.3">
      <c r="A12" s="1219" t="s">
        <v>943</v>
      </c>
      <c r="B12" s="1219"/>
      <c r="C12" s="1219"/>
      <c r="D12" s="1219"/>
      <c r="E12" s="1219"/>
      <c r="F12" s="1219"/>
      <c r="G12" s="1219"/>
      <c r="H12" s="1219"/>
      <c r="I12" s="1219"/>
      <c r="J12" s="1219"/>
      <c r="K12" s="1219"/>
      <c r="L12" s="1219"/>
      <c r="M12" s="1219"/>
      <c r="N12" s="1219"/>
      <c r="O12" s="1219"/>
      <c r="P12" s="1219"/>
      <c r="Q12" s="1219"/>
      <c r="R12" s="1219"/>
      <c r="S12" s="1219"/>
      <c r="T12" s="1219"/>
      <c r="U12" s="1219"/>
      <c r="V12" s="1219"/>
      <c r="W12" s="1219"/>
      <c r="X12" s="1219"/>
      <c r="Y12" s="1219"/>
      <c r="Z12" s="1219"/>
      <c r="AA12" s="1219"/>
      <c r="AB12" s="1219"/>
      <c r="AC12" s="1219"/>
      <c r="AD12" s="1219"/>
      <c r="AE12" s="1219"/>
      <c r="AF12" s="1219"/>
      <c r="AG12" s="1219"/>
      <c r="AH12" s="1219"/>
      <c r="AI12" s="1219"/>
      <c r="AJ12" s="1219"/>
      <c r="AK12" s="1219"/>
      <c r="AL12" s="1219"/>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row>
    <row r="13" spans="1:67" ht="15.75" customHeight="1" x14ac:dyDescent="0.3">
      <c r="A13" s="1219" t="s">
        <v>165</v>
      </c>
      <c r="B13" s="1219"/>
      <c r="C13" s="1219"/>
      <c r="D13" s="1219"/>
      <c r="E13" s="1219"/>
      <c r="F13" s="1219"/>
      <c r="G13" s="1219"/>
      <c r="H13" s="1219"/>
      <c r="I13" s="1219"/>
      <c r="J13" s="1219"/>
      <c r="K13" s="1219"/>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row>
    <row r="14" spans="1:67" x14ac:dyDescent="0.3">
      <c r="A14" s="1218"/>
      <c r="B14" s="1218"/>
      <c r="C14" s="1218"/>
      <c r="D14" s="1218"/>
      <c r="E14" s="1218"/>
      <c r="F14" s="1218"/>
      <c r="G14" s="1218"/>
      <c r="H14" s="1218"/>
      <c r="I14" s="1218"/>
      <c r="J14" s="1218"/>
      <c r="K14" s="1218"/>
      <c r="L14" s="1218"/>
      <c r="M14" s="1218"/>
      <c r="N14" s="1218"/>
      <c r="O14" s="1218"/>
      <c r="P14" s="1218"/>
      <c r="Q14" s="1218"/>
      <c r="R14" s="1218"/>
      <c r="S14" s="1218"/>
      <c r="T14" s="1218"/>
      <c r="U14" s="1218"/>
      <c r="V14" s="1218"/>
      <c r="W14" s="1218"/>
      <c r="X14" s="1218"/>
      <c r="Y14" s="1218"/>
      <c r="Z14" s="1218"/>
      <c r="AA14" s="1218"/>
      <c r="AB14" s="1218"/>
      <c r="AC14" s="1218"/>
      <c r="AD14" s="1218"/>
      <c r="AE14" s="1218"/>
      <c r="AF14" s="1218"/>
      <c r="AG14" s="1218"/>
      <c r="AH14" s="1218"/>
      <c r="AI14" s="1218"/>
      <c r="AJ14" s="1218"/>
      <c r="AK14" s="1218"/>
      <c r="AL14" s="1218"/>
      <c r="AM14" s="188"/>
      <c r="AN14" s="188"/>
      <c r="AO14" s="188"/>
      <c r="AP14" s="188"/>
      <c r="AQ14" s="196"/>
      <c r="AR14" s="196"/>
      <c r="AS14" s="196"/>
      <c r="AT14" s="196"/>
      <c r="AU14" s="196"/>
      <c r="AV14" s="196"/>
      <c r="AW14" s="196"/>
      <c r="AX14" s="196"/>
      <c r="AY14" s="196"/>
      <c r="AZ14" s="196"/>
      <c r="BA14" s="196"/>
      <c r="BB14" s="196"/>
      <c r="BC14" s="196"/>
      <c r="BD14" s="196"/>
      <c r="BE14" s="196"/>
      <c r="BF14" s="196"/>
    </row>
    <row r="15" spans="1:67" ht="19.5" customHeight="1" x14ac:dyDescent="0.3">
      <c r="A15" s="1214" t="s">
        <v>179</v>
      </c>
      <c r="B15" s="1210" t="s">
        <v>31</v>
      </c>
      <c r="C15" s="1210" t="s">
        <v>4</v>
      </c>
      <c r="D15" s="1202" t="s">
        <v>764</v>
      </c>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2"/>
      <c r="AL15" s="1202"/>
      <c r="AM15" s="197"/>
      <c r="AN15" s="197"/>
      <c r="AO15" s="197"/>
      <c r="AP15" s="197"/>
    </row>
    <row r="16" spans="1:67" ht="43.5" customHeight="1" x14ac:dyDescent="0.3">
      <c r="A16" s="1200"/>
      <c r="B16" s="1210"/>
      <c r="C16" s="1210"/>
      <c r="D16" s="1202" t="s">
        <v>7</v>
      </c>
      <c r="E16" s="1202"/>
      <c r="F16" s="1202"/>
      <c r="G16" s="1202"/>
      <c r="H16" s="1202"/>
      <c r="I16" s="1202"/>
      <c r="J16" s="1202"/>
      <c r="K16" s="1202" t="s">
        <v>8</v>
      </c>
      <c r="L16" s="1202"/>
      <c r="M16" s="1202"/>
      <c r="N16" s="1202"/>
      <c r="O16" s="1202"/>
      <c r="P16" s="1202"/>
      <c r="Q16" s="1202"/>
      <c r="R16" s="1202" t="s">
        <v>9</v>
      </c>
      <c r="S16" s="1202"/>
      <c r="T16" s="1202"/>
      <c r="U16" s="1202"/>
      <c r="V16" s="1202"/>
      <c r="W16" s="1202"/>
      <c r="X16" s="1202"/>
      <c r="Y16" s="1202" t="s">
        <v>10</v>
      </c>
      <c r="Z16" s="1202"/>
      <c r="AA16" s="1202"/>
      <c r="AB16" s="1202"/>
      <c r="AC16" s="1202"/>
      <c r="AD16" s="1202"/>
      <c r="AE16" s="1202"/>
      <c r="AF16" s="1210" t="s">
        <v>312</v>
      </c>
      <c r="AG16" s="1210"/>
      <c r="AH16" s="1210"/>
      <c r="AI16" s="1210"/>
      <c r="AJ16" s="1210"/>
      <c r="AK16" s="1210"/>
      <c r="AL16" s="1210"/>
      <c r="AM16" s="197"/>
      <c r="AN16" s="197"/>
      <c r="AO16" s="197"/>
      <c r="AP16" s="197"/>
    </row>
    <row r="17" spans="1:38" ht="69.75" customHeight="1" x14ac:dyDescent="0.3">
      <c r="A17" s="1200"/>
      <c r="B17" s="1210"/>
      <c r="C17" s="1210"/>
      <c r="D17" s="190" t="s">
        <v>57</v>
      </c>
      <c r="E17" s="1202" t="s">
        <v>56</v>
      </c>
      <c r="F17" s="1202"/>
      <c r="G17" s="1202"/>
      <c r="H17" s="1202"/>
      <c r="I17" s="1202"/>
      <c r="J17" s="1202"/>
      <c r="K17" s="190" t="s">
        <v>57</v>
      </c>
      <c r="L17" s="1210" t="s">
        <v>56</v>
      </c>
      <c r="M17" s="1210"/>
      <c r="N17" s="1210"/>
      <c r="O17" s="1210"/>
      <c r="P17" s="1210"/>
      <c r="Q17" s="1210"/>
      <c r="R17" s="190" t="s">
        <v>57</v>
      </c>
      <c r="S17" s="1210" t="s">
        <v>56</v>
      </c>
      <c r="T17" s="1210"/>
      <c r="U17" s="1210"/>
      <c r="V17" s="1210"/>
      <c r="W17" s="1210"/>
      <c r="X17" s="1210"/>
      <c r="Y17" s="190" t="s">
        <v>57</v>
      </c>
      <c r="Z17" s="1210" t="s">
        <v>56</v>
      </c>
      <c r="AA17" s="1210"/>
      <c r="AB17" s="1210"/>
      <c r="AC17" s="1210"/>
      <c r="AD17" s="1210"/>
      <c r="AE17" s="1210"/>
      <c r="AF17" s="190" t="s">
        <v>57</v>
      </c>
      <c r="AG17" s="1210" t="s">
        <v>56</v>
      </c>
      <c r="AH17" s="1210"/>
      <c r="AI17" s="1210"/>
      <c r="AJ17" s="1210"/>
      <c r="AK17" s="1210"/>
      <c r="AL17" s="1210"/>
    </row>
    <row r="18" spans="1:38" ht="87.75" customHeight="1" x14ac:dyDescent="0.3">
      <c r="A18" s="1201"/>
      <c r="B18" s="1210"/>
      <c r="C18" s="1210"/>
      <c r="D18" s="167" t="s">
        <v>24</v>
      </c>
      <c r="E18" s="167" t="s">
        <v>24</v>
      </c>
      <c r="F18" s="191" t="s">
        <v>5</v>
      </c>
      <c r="G18" s="191" t="s">
        <v>6</v>
      </c>
      <c r="H18" s="191" t="s">
        <v>268</v>
      </c>
      <c r="I18" s="191" t="s">
        <v>2</v>
      </c>
      <c r="J18" s="191" t="s">
        <v>148</v>
      </c>
      <c r="K18" s="167" t="s">
        <v>24</v>
      </c>
      <c r="L18" s="167" t="s">
        <v>24</v>
      </c>
      <c r="M18" s="191" t="s">
        <v>5</v>
      </c>
      <c r="N18" s="191" t="s">
        <v>6</v>
      </c>
      <c r="O18" s="191" t="s">
        <v>268</v>
      </c>
      <c r="P18" s="191" t="s">
        <v>2</v>
      </c>
      <c r="Q18" s="191" t="s">
        <v>148</v>
      </c>
      <c r="R18" s="167" t="s">
        <v>24</v>
      </c>
      <c r="S18" s="167" t="s">
        <v>24</v>
      </c>
      <c r="T18" s="191" t="s">
        <v>5</v>
      </c>
      <c r="U18" s="191" t="s">
        <v>6</v>
      </c>
      <c r="V18" s="191" t="s">
        <v>268</v>
      </c>
      <c r="W18" s="191" t="s">
        <v>2</v>
      </c>
      <c r="X18" s="191" t="s">
        <v>148</v>
      </c>
      <c r="Y18" s="167" t="s">
        <v>24</v>
      </c>
      <c r="Z18" s="167" t="s">
        <v>24</v>
      </c>
      <c r="AA18" s="191" t="s">
        <v>5</v>
      </c>
      <c r="AB18" s="191" t="s">
        <v>6</v>
      </c>
      <c r="AC18" s="191" t="s">
        <v>268</v>
      </c>
      <c r="AD18" s="191" t="s">
        <v>2</v>
      </c>
      <c r="AE18" s="191" t="s">
        <v>148</v>
      </c>
      <c r="AF18" s="167" t="s">
        <v>24</v>
      </c>
      <c r="AG18" s="167" t="s">
        <v>24</v>
      </c>
      <c r="AH18" s="191" t="s">
        <v>5</v>
      </c>
      <c r="AI18" s="191" t="s">
        <v>6</v>
      </c>
      <c r="AJ18" s="191" t="s">
        <v>268</v>
      </c>
      <c r="AK18" s="191" t="s">
        <v>2</v>
      </c>
      <c r="AL18" s="191" t="s">
        <v>148</v>
      </c>
    </row>
    <row r="19" spans="1:38" x14ac:dyDescent="0.3">
      <c r="A19" s="192">
        <v>1</v>
      </c>
      <c r="B19" s="192">
        <v>2</v>
      </c>
      <c r="C19" s="192">
        <v>3</v>
      </c>
      <c r="D19" s="193" t="s">
        <v>108</v>
      </c>
      <c r="E19" s="193" t="s">
        <v>109</v>
      </c>
      <c r="F19" s="193" t="s">
        <v>110</v>
      </c>
      <c r="G19" s="193" t="s">
        <v>111</v>
      </c>
      <c r="H19" s="193" t="s">
        <v>112</v>
      </c>
      <c r="I19" s="193" t="s">
        <v>113</v>
      </c>
      <c r="J19" s="193" t="s">
        <v>188</v>
      </c>
      <c r="K19" s="193" t="s">
        <v>189</v>
      </c>
      <c r="L19" s="193" t="s">
        <v>190</v>
      </c>
      <c r="M19" s="193" t="s">
        <v>191</v>
      </c>
      <c r="N19" s="193" t="s">
        <v>192</v>
      </c>
      <c r="O19" s="193" t="s">
        <v>193</v>
      </c>
      <c r="P19" s="193" t="s">
        <v>194</v>
      </c>
      <c r="Q19" s="193" t="s">
        <v>195</v>
      </c>
      <c r="R19" s="193" t="s">
        <v>198</v>
      </c>
      <c r="S19" s="193" t="s">
        <v>199</v>
      </c>
      <c r="T19" s="193" t="s">
        <v>200</v>
      </c>
      <c r="U19" s="193" t="s">
        <v>201</v>
      </c>
      <c r="V19" s="193" t="s">
        <v>202</v>
      </c>
      <c r="W19" s="193" t="s">
        <v>203</v>
      </c>
      <c r="X19" s="193" t="s">
        <v>343</v>
      </c>
      <c r="Y19" s="193" t="s">
        <v>204</v>
      </c>
      <c r="Z19" s="193" t="s">
        <v>205</v>
      </c>
      <c r="AA19" s="193" t="s">
        <v>206</v>
      </c>
      <c r="AB19" s="193" t="s">
        <v>207</v>
      </c>
      <c r="AC19" s="193" t="s">
        <v>208</v>
      </c>
      <c r="AD19" s="193" t="s">
        <v>209</v>
      </c>
      <c r="AE19" s="193" t="s">
        <v>344</v>
      </c>
      <c r="AF19" s="193" t="s">
        <v>99</v>
      </c>
      <c r="AG19" s="193" t="s">
        <v>102</v>
      </c>
      <c r="AH19" s="193" t="s">
        <v>118</v>
      </c>
      <c r="AI19" s="193" t="s">
        <v>121</v>
      </c>
      <c r="AJ19" s="193" t="s">
        <v>124</v>
      </c>
      <c r="AK19" s="193" t="s">
        <v>125</v>
      </c>
      <c r="AL19" s="193" t="s">
        <v>126</v>
      </c>
    </row>
    <row r="20" spans="1:38" s="172" customFormat="1" ht="68.25" customHeight="1" x14ac:dyDescent="0.3">
      <c r="A20" s="147" t="s">
        <v>711</v>
      </c>
      <c r="B20" s="148" t="s">
        <v>684</v>
      </c>
      <c r="C20" s="171" t="s">
        <v>840</v>
      </c>
      <c r="D20" s="243" t="s">
        <v>840</v>
      </c>
      <c r="E20" s="243" t="s">
        <v>840</v>
      </c>
      <c r="F20" s="243" t="s">
        <v>840</v>
      </c>
      <c r="G20" s="243" t="s">
        <v>840</v>
      </c>
      <c r="H20" s="243" t="s">
        <v>840</v>
      </c>
      <c r="I20" s="243" t="s">
        <v>840</v>
      </c>
      <c r="J20" s="243" t="s">
        <v>840</v>
      </c>
      <c r="K20" s="243" t="s">
        <v>840</v>
      </c>
      <c r="L20" s="243" t="s">
        <v>840</v>
      </c>
      <c r="M20" s="243" t="s">
        <v>840</v>
      </c>
      <c r="N20" s="243" t="s">
        <v>840</v>
      </c>
      <c r="O20" s="243" t="s">
        <v>840</v>
      </c>
      <c r="P20" s="243" t="s">
        <v>840</v>
      </c>
      <c r="Q20" s="243" t="s">
        <v>840</v>
      </c>
      <c r="R20" s="243" t="s">
        <v>840</v>
      </c>
      <c r="S20" s="244">
        <f>S21</f>
        <v>60.49</v>
      </c>
      <c r="T20" s="243">
        <f>T21</f>
        <v>1.6</v>
      </c>
      <c r="U20" s="243" t="s">
        <v>840</v>
      </c>
      <c r="V20" s="254">
        <f>V21</f>
        <v>4.6820000000000004</v>
      </c>
      <c r="W20" s="243" t="s">
        <v>840</v>
      </c>
      <c r="X20" s="243">
        <f>X21</f>
        <v>28</v>
      </c>
      <c r="Y20" s="243" t="s">
        <v>840</v>
      </c>
      <c r="Z20" s="243" t="s">
        <v>840</v>
      </c>
      <c r="AA20" s="243" t="s">
        <v>840</v>
      </c>
      <c r="AB20" s="243" t="s">
        <v>840</v>
      </c>
      <c r="AC20" s="243" t="s">
        <v>840</v>
      </c>
      <c r="AD20" s="243" t="s">
        <v>840</v>
      </c>
      <c r="AE20" s="243" t="s">
        <v>840</v>
      </c>
      <c r="AF20" s="243" t="s">
        <v>840</v>
      </c>
      <c r="AG20" s="244">
        <f>AG21</f>
        <v>60.49</v>
      </c>
      <c r="AH20" s="243">
        <f>AH21</f>
        <v>1.6</v>
      </c>
      <c r="AI20" s="243" t="s">
        <v>840</v>
      </c>
      <c r="AJ20" s="254">
        <f>AJ21</f>
        <v>4.6820000000000004</v>
      </c>
      <c r="AK20" s="243" t="s">
        <v>840</v>
      </c>
      <c r="AL20" s="243">
        <f>AL21</f>
        <v>28</v>
      </c>
    </row>
    <row r="21" spans="1:38" s="132" customFormat="1" ht="40.5" x14ac:dyDescent="0.3">
      <c r="A21" s="150" t="s">
        <v>713</v>
      </c>
      <c r="B21" s="173" t="s">
        <v>686</v>
      </c>
      <c r="C21" s="174" t="s">
        <v>840</v>
      </c>
      <c r="D21" s="245" t="s">
        <v>840</v>
      </c>
      <c r="E21" s="245" t="s">
        <v>840</v>
      </c>
      <c r="F21" s="245" t="s">
        <v>840</v>
      </c>
      <c r="G21" s="245" t="s">
        <v>840</v>
      </c>
      <c r="H21" s="245" t="s">
        <v>840</v>
      </c>
      <c r="I21" s="245" t="s">
        <v>840</v>
      </c>
      <c r="J21" s="245" t="s">
        <v>840</v>
      </c>
      <c r="K21" s="245" t="s">
        <v>840</v>
      </c>
      <c r="L21" s="245" t="s">
        <v>840</v>
      </c>
      <c r="M21" s="245" t="s">
        <v>840</v>
      </c>
      <c r="N21" s="245" t="s">
        <v>840</v>
      </c>
      <c r="O21" s="245" t="s">
        <v>840</v>
      </c>
      <c r="P21" s="245" t="s">
        <v>840</v>
      </c>
      <c r="Q21" s="245" t="s">
        <v>840</v>
      </c>
      <c r="R21" s="245" t="s">
        <v>840</v>
      </c>
      <c r="S21" s="246">
        <f>S22</f>
        <v>60.49</v>
      </c>
      <c r="T21" s="245">
        <f>T22</f>
        <v>1.6</v>
      </c>
      <c r="U21" s="245" t="s">
        <v>840</v>
      </c>
      <c r="V21" s="256">
        <f>V22</f>
        <v>4.6820000000000004</v>
      </c>
      <c r="W21" s="245" t="s">
        <v>840</v>
      </c>
      <c r="X21" s="245">
        <f>X22</f>
        <v>28</v>
      </c>
      <c r="Y21" s="245" t="s">
        <v>840</v>
      </c>
      <c r="Z21" s="245" t="s">
        <v>840</v>
      </c>
      <c r="AA21" s="245" t="s">
        <v>840</v>
      </c>
      <c r="AB21" s="245" t="s">
        <v>840</v>
      </c>
      <c r="AC21" s="245" t="s">
        <v>840</v>
      </c>
      <c r="AD21" s="245" t="s">
        <v>840</v>
      </c>
      <c r="AE21" s="245" t="s">
        <v>840</v>
      </c>
      <c r="AF21" s="245" t="s">
        <v>840</v>
      </c>
      <c r="AG21" s="246">
        <f>AG22</f>
        <v>60.49</v>
      </c>
      <c r="AH21" s="245">
        <f>AH22</f>
        <v>1.6</v>
      </c>
      <c r="AI21" s="245" t="s">
        <v>840</v>
      </c>
      <c r="AJ21" s="256">
        <f>AJ22</f>
        <v>4.6820000000000004</v>
      </c>
      <c r="AK21" s="245" t="s">
        <v>840</v>
      </c>
      <c r="AL21" s="245">
        <f>AL22</f>
        <v>28</v>
      </c>
    </row>
    <row r="22" spans="1:38" s="132" customFormat="1" ht="44.25" customHeight="1" x14ac:dyDescent="0.3">
      <c r="A22" s="153" t="s">
        <v>537</v>
      </c>
      <c r="B22" s="194" t="s">
        <v>691</v>
      </c>
      <c r="C22" s="174" t="s">
        <v>840</v>
      </c>
      <c r="D22" s="245" t="s">
        <v>840</v>
      </c>
      <c r="E22" s="245" t="s">
        <v>840</v>
      </c>
      <c r="F22" s="245" t="s">
        <v>840</v>
      </c>
      <c r="G22" s="245" t="s">
        <v>840</v>
      </c>
      <c r="H22" s="245" t="s">
        <v>840</v>
      </c>
      <c r="I22" s="245" t="s">
        <v>840</v>
      </c>
      <c r="J22" s="245" t="s">
        <v>840</v>
      </c>
      <c r="K22" s="245" t="s">
        <v>840</v>
      </c>
      <c r="L22" s="245" t="s">
        <v>840</v>
      </c>
      <c r="M22" s="245" t="s">
        <v>840</v>
      </c>
      <c r="N22" s="245" t="s">
        <v>840</v>
      </c>
      <c r="O22" s="245" t="s">
        <v>840</v>
      </c>
      <c r="P22" s="245" t="s">
        <v>840</v>
      </c>
      <c r="Q22" s="245" t="s">
        <v>840</v>
      </c>
      <c r="R22" s="245" t="s">
        <v>840</v>
      </c>
      <c r="S22" s="246">
        <f>S23+S31+S36</f>
        <v>60.49</v>
      </c>
      <c r="T22" s="245">
        <f>T31</f>
        <v>1.6</v>
      </c>
      <c r="U22" s="245" t="s">
        <v>840</v>
      </c>
      <c r="V22" s="256">
        <f>V23</f>
        <v>4.6820000000000004</v>
      </c>
      <c r="W22" s="245" t="s">
        <v>840</v>
      </c>
      <c r="X22" s="245">
        <f>X31+X36</f>
        <v>28</v>
      </c>
      <c r="Y22" s="245" t="s">
        <v>840</v>
      </c>
      <c r="Z22" s="245" t="s">
        <v>840</v>
      </c>
      <c r="AA22" s="245" t="s">
        <v>840</v>
      </c>
      <c r="AB22" s="245" t="s">
        <v>840</v>
      </c>
      <c r="AC22" s="245" t="s">
        <v>840</v>
      </c>
      <c r="AD22" s="245" t="s">
        <v>840</v>
      </c>
      <c r="AE22" s="245" t="s">
        <v>840</v>
      </c>
      <c r="AF22" s="245" t="s">
        <v>840</v>
      </c>
      <c r="AG22" s="246">
        <f>AG23+AG31+AF36</f>
        <v>60.49</v>
      </c>
      <c r="AH22" s="245">
        <f>AH31</f>
        <v>1.6</v>
      </c>
      <c r="AI22" s="245" t="s">
        <v>840</v>
      </c>
      <c r="AJ22" s="256">
        <f>AJ23</f>
        <v>4.6820000000000004</v>
      </c>
      <c r="AK22" s="245" t="s">
        <v>840</v>
      </c>
      <c r="AL22" s="245">
        <f>AL31</f>
        <v>28</v>
      </c>
    </row>
    <row r="23" spans="1:38" s="132" customFormat="1" ht="60.75" x14ac:dyDescent="0.3">
      <c r="A23" s="155" t="s">
        <v>545</v>
      </c>
      <c r="B23" s="175" t="s">
        <v>697</v>
      </c>
      <c r="C23" s="176" t="s">
        <v>840</v>
      </c>
      <c r="D23" s="247" t="s">
        <v>840</v>
      </c>
      <c r="E23" s="247" t="s">
        <v>840</v>
      </c>
      <c r="F23" s="247" t="s">
        <v>840</v>
      </c>
      <c r="G23" s="247" t="s">
        <v>840</v>
      </c>
      <c r="H23" s="247" t="s">
        <v>840</v>
      </c>
      <c r="I23" s="247" t="s">
        <v>840</v>
      </c>
      <c r="J23" s="247" t="s">
        <v>840</v>
      </c>
      <c r="K23" s="247" t="s">
        <v>840</v>
      </c>
      <c r="L23" s="247" t="s">
        <v>840</v>
      </c>
      <c r="M23" s="247" t="s">
        <v>840</v>
      </c>
      <c r="N23" s="247" t="s">
        <v>840</v>
      </c>
      <c r="O23" s="247" t="s">
        <v>840</v>
      </c>
      <c r="P23" s="247" t="s">
        <v>840</v>
      </c>
      <c r="Q23" s="247" t="s">
        <v>840</v>
      </c>
      <c r="R23" s="247" t="s">
        <v>840</v>
      </c>
      <c r="S23" s="248">
        <f>S24</f>
        <v>25.72</v>
      </c>
      <c r="T23" s="247" t="s">
        <v>840</v>
      </c>
      <c r="U23" s="247" t="s">
        <v>840</v>
      </c>
      <c r="V23" s="259">
        <f>V24</f>
        <v>4.6820000000000004</v>
      </c>
      <c r="W23" s="247" t="s">
        <v>840</v>
      </c>
      <c r="X23" s="247" t="s">
        <v>840</v>
      </c>
      <c r="Y23" s="247" t="s">
        <v>840</v>
      </c>
      <c r="Z23" s="247" t="s">
        <v>840</v>
      </c>
      <c r="AA23" s="247" t="s">
        <v>840</v>
      </c>
      <c r="AB23" s="247" t="s">
        <v>840</v>
      </c>
      <c r="AC23" s="247" t="s">
        <v>840</v>
      </c>
      <c r="AD23" s="247" t="s">
        <v>840</v>
      </c>
      <c r="AE23" s="247" t="s">
        <v>840</v>
      </c>
      <c r="AF23" s="247" t="s">
        <v>840</v>
      </c>
      <c r="AG23" s="248">
        <f>AG24</f>
        <v>25.72</v>
      </c>
      <c r="AH23" s="247" t="s">
        <v>840</v>
      </c>
      <c r="AI23" s="247" t="s">
        <v>840</v>
      </c>
      <c r="AJ23" s="258">
        <f>AJ24</f>
        <v>4.6820000000000004</v>
      </c>
      <c r="AK23" s="247" t="s">
        <v>840</v>
      </c>
      <c r="AL23" s="247" t="s">
        <v>840</v>
      </c>
    </row>
    <row r="24" spans="1:38" s="183" customFormat="1" ht="79.5" customHeight="1" x14ac:dyDescent="0.25">
      <c r="A24" s="153" t="s">
        <v>595</v>
      </c>
      <c r="B24" s="194" t="s">
        <v>746</v>
      </c>
      <c r="C24" s="174" t="s">
        <v>840</v>
      </c>
      <c r="D24" s="245" t="s">
        <v>840</v>
      </c>
      <c r="E24" s="245" t="s">
        <v>840</v>
      </c>
      <c r="F24" s="245" t="s">
        <v>840</v>
      </c>
      <c r="G24" s="245" t="s">
        <v>840</v>
      </c>
      <c r="H24" s="245" t="s">
        <v>840</v>
      </c>
      <c r="I24" s="245" t="s">
        <v>840</v>
      </c>
      <c r="J24" s="245" t="s">
        <v>840</v>
      </c>
      <c r="K24" s="245" t="s">
        <v>840</v>
      </c>
      <c r="L24" s="245" t="s">
        <v>840</v>
      </c>
      <c r="M24" s="245" t="s">
        <v>840</v>
      </c>
      <c r="N24" s="245" t="s">
        <v>840</v>
      </c>
      <c r="O24" s="245" t="s">
        <v>840</v>
      </c>
      <c r="P24" s="245" t="s">
        <v>840</v>
      </c>
      <c r="Q24" s="245" t="s">
        <v>840</v>
      </c>
      <c r="R24" s="245" t="s">
        <v>840</v>
      </c>
      <c r="S24" s="246">
        <f>SUM(S25:S27)</f>
        <v>25.72</v>
      </c>
      <c r="T24" s="245" t="s">
        <v>840</v>
      </c>
      <c r="U24" s="245" t="s">
        <v>840</v>
      </c>
      <c r="V24" s="260">
        <f>SUM(V25:V27)</f>
        <v>4.6820000000000004</v>
      </c>
      <c r="W24" s="245" t="s">
        <v>840</v>
      </c>
      <c r="X24" s="245" t="s">
        <v>840</v>
      </c>
      <c r="Y24" s="245" t="s">
        <v>840</v>
      </c>
      <c r="Z24" s="245" t="s">
        <v>840</v>
      </c>
      <c r="AA24" s="245" t="s">
        <v>840</v>
      </c>
      <c r="AB24" s="245" t="s">
        <v>840</v>
      </c>
      <c r="AC24" s="245" t="s">
        <v>840</v>
      </c>
      <c r="AD24" s="245" t="s">
        <v>840</v>
      </c>
      <c r="AE24" s="245" t="s">
        <v>840</v>
      </c>
      <c r="AF24" s="245" t="s">
        <v>840</v>
      </c>
      <c r="AG24" s="246">
        <f>SUM(AG25:AG27)</f>
        <v>25.72</v>
      </c>
      <c r="AH24" s="245" t="s">
        <v>840</v>
      </c>
      <c r="AI24" s="245" t="s">
        <v>840</v>
      </c>
      <c r="AJ24" s="257">
        <f>SUM(AJ25:AJ27)</f>
        <v>4.6820000000000004</v>
      </c>
      <c r="AK24" s="245" t="s">
        <v>840</v>
      </c>
      <c r="AL24" s="245" t="s">
        <v>840</v>
      </c>
    </row>
    <row r="25" spans="1:38" s="313" customFormat="1" ht="63.75" customHeight="1" x14ac:dyDescent="0.25">
      <c r="A25" s="153" t="s">
        <v>814</v>
      </c>
      <c r="B25" s="325" t="s">
        <v>815</v>
      </c>
      <c r="C25" s="337" t="s">
        <v>1044</v>
      </c>
      <c r="D25" s="245" t="s">
        <v>840</v>
      </c>
      <c r="E25" s="245" t="s">
        <v>840</v>
      </c>
      <c r="F25" s="245" t="s">
        <v>840</v>
      </c>
      <c r="G25" s="245" t="s">
        <v>840</v>
      </c>
      <c r="H25" s="245" t="s">
        <v>840</v>
      </c>
      <c r="I25" s="245" t="s">
        <v>840</v>
      </c>
      <c r="J25" s="245" t="s">
        <v>840</v>
      </c>
      <c r="K25" s="245" t="s">
        <v>840</v>
      </c>
      <c r="L25" s="245" t="s">
        <v>840</v>
      </c>
      <c r="M25" s="245" t="s">
        <v>840</v>
      </c>
      <c r="N25" s="245" t="s">
        <v>840</v>
      </c>
      <c r="O25" s="245" t="s">
        <v>840</v>
      </c>
      <c r="P25" s="245" t="s">
        <v>840</v>
      </c>
      <c r="Q25" s="245" t="s">
        <v>840</v>
      </c>
      <c r="R25" s="245" t="s">
        <v>840</v>
      </c>
      <c r="S25" s="246">
        <f>'3 (цены без НДС)'!K23</f>
        <v>7.25</v>
      </c>
      <c r="T25" s="245" t="s">
        <v>840</v>
      </c>
      <c r="U25" s="245" t="s">
        <v>840</v>
      </c>
      <c r="V25" s="256">
        <f>'Ф1 2020'!N51</f>
        <v>1.3</v>
      </c>
      <c r="W25" s="245" t="s">
        <v>840</v>
      </c>
      <c r="X25" s="245" t="s">
        <v>840</v>
      </c>
      <c r="Y25" s="245" t="s">
        <v>840</v>
      </c>
      <c r="Z25" s="245" t="s">
        <v>840</v>
      </c>
      <c r="AA25" s="245" t="s">
        <v>840</v>
      </c>
      <c r="AB25" s="245" t="s">
        <v>840</v>
      </c>
      <c r="AC25" s="245" t="s">
        <v>840</v>
      </c>
      <c r="AD25" s="245" t="s">
        <v>840</v>
      </c>
      <c r="AE25" s="245" t="s">
        <v>840</v>
      </c>
      <c r="AF25" s="245" t="s">
        <v>840</v>
      </c>
      <c r="AG25" s="246">
        <f>S25</f>
        <v>7.25</v>
      </c>
      <c r="AH25" s="245" t="s">
        <v>840</v>
      </c>
      <c r="AI25" s="245" t="s">
        <v>840</v>
      </c>
      <c r="AJ25" s="256">
        <f>V25</f>
        <v>1.3</v>
      </c>
      <c r="AK25" s="245" t="s">
        <v>840</v>
      </c>
      <c r="AL25" s="245" t="s">
        <v>840</v>
      </c>
    </row>
    <row r="26" spans="1:38" s="313" customFormat="1" ht="82.5" customHeight="1" x14ac:dyDescent="0.25">
      <c r="A26" s="153" t="s">
        <v>813</v>
      </c>
      <c r="B26" s="325" t="s">
        <v>859</v>
      </c>
      <c r="C26" s="337" t="s">
        <v>1045</v>
      </c>
      <c r="D26" s="245" t="s">
        <v>840</v>
      </c>
      <c r="E26" s="245" t="s">
        <v>840</v>
      </c>
      <c r="F26" s="245" t="s">
        <v>840</v>
      </c>
      <c r="G26" s="245" t="s">
        <v>840</v>
      </c>
      <c r="H26" s="245" t="s">
        <v>840</v>
      </c>
      <c r="I26" s="245" t="s">
        <v>840</v>
      </c>
      <c r="J26" s="245" t="s">
        <v>840</v>
      </c>
      <c r="K26" s="245" t="s">
        <v>840</v>
      </c>
      <c r="L26" s="245" t="s">
        <v>840</v>
      </c>
      <c r="M26" s="245" t="s">
        <v>840</v>
      </c>
      <c r="N26" s="245" t="s">
        <v>840</v>
      </c>
      <c r="O26" s="245" t="s">
        <v>840</v>
      </c>
      <c r="P26" s="245" t="s">
        <v>840</v>
      </c>
      <c r="Q26" s="245" t="s">
        <v>840</v>
      </c>
      <c r="R26" s="245" t="s">
        <v>840</v>
      </c>
      <c r="S26" s="246">
        <f>'3 (цены без НДС)'!K24</f>
        <v>2.93</v>
      </c>
      <c r="T26" s="245" t="s">
        <v>840</v>
      </c>
      <c r="U26" s="245" t="s">
        <v>840</v>
      </c>
      <c r="V26" s="256">
        <f>'Ф1 2020'!N52</f>
        <v>0.45300000000000001</v>
      </c>
      <c r="W26" s="245" t="s">
        <v>840</v>
      </c>
      <c r="X26" s="245" t="s">
        <v>840</v>
      </c>
      <c r="Y26" s="245" t="s">
        <v>840</v>
      </c>
      <c r="Z26" s="245" t="s">
        <v>840</v>
      </c>
      <c r="AA26" s="245" t="s">
        <v>840</v>
      </c>
      <c r="AB26" s="245" t="s">
        <v>840</v>
      </c>
      <c r="AC26" s="245" t="s">
        <v>840</v>
      </c>
      <c r="AD26" s="245" t="s">
        <v>840</v>
      </c>
      <c r="AE26" s="245" t="s">
        <v>840</v>
      </c>
      <c r="AF26" s="245" t="s">
        <v>840</v>
      </c>
      <c r="AG26" s="246">
        <f>S26</f>
        <v>2.93</v>
      </c>
      <c r="AH26" s="245" t="s">
        <v>840</v>
      </c>
      <c r="AI26" s="245" t="s">
        <v>840</v>
      </c>
      <c r="AJ26" s="256">
        <f>V26</f>
        <v>0.45300000000000001</v>
      </c>
      <c r="AK26" s="245" t="s">
        <v>840</v>
      </c>
      <c r="AL26" s="245" t="s">
        <v>840</v>
      </c>
    </row>
    <row r="27" spans="1:38" s="313" customFormat="1" ht="92.25" customHeight="1" x14ac:dyDescent="0.25">
      <c r="A27" s="153" t="s">
        <v>817</v>
      </c>
      <c r="B27" s="490" t="s">
        <v>934</v>
      </c>
      <c r="C27" s="491" t="s">
        <v>1046</v>
      </c>
      <c r="D27" s="245" t="s">
        <v>840</v>
      </c>
      <c r="E27" s="245" t="s">
        <v>840</v>
      </c>
      <c r="F27" s="245" t="s">
        <v>840</v>
      </c>
      <c r="G27" s="245" t="s">
        <v>840</v>
      </c>
      <c r="H27" s="245" t="s">
        <v>840</v>
      </c>
      <c r="I27" s="245" t="s">
        <v>840</v>
      </c>
      <c r="J27" s="245" t="s">
        <v>840</v>
      </c>
      <c r="K27" s="245" t="s">
        <v>840</v>
      </c>
      <c r="L27" s="245" t="s">
        <v>840</v>
      </c>
      <c r="M27" s="245" t="s">
        <v>840</v>
      </c>
      <c r="N27" s="245" t="s">
        <v>840</v>
      </c>
      <c r="O27" s="245" t="s">
        <v>840</v>
      </c>
      <c r="P27" s="245" t="s">
        <v>840</v>
      </c>
      <c r="Q27" s="245" t="s">
        <v>840</v>
      </c>
      <c r="R27" s="245" t="s">
        <v>840</v>
      </c>
      <c r="S27" s="246">
        <f>'3 (цены без НДС)'!P25</f>
        <v>15.54</v>
      </c>
      <c r="T27" s="245" t="s">
        <v>840</v>
      </c>
      <c r="U27" s="245" t="s">
        <v>840</v>
      </c>
      <c r="V27" s="256">
        <f>'Ф1 2020'!O53</f>
        <v>2.9289999999999998</v>
      </c>
      <c r="W27" s="245" t="s">
        <v>840</v>
      </c>
      <c r="X27" s="245" t="s">
        <v>840</v>
      </c>
      <c r="Y27" s="245" t="s">
        <v>840</v>
      </c>
      <c r="Z27" s="245" t="s">
        <v>840</v>
      </c>
      <c r="AA27" s="245" t="s">
        <v>840</v>
      </c>
      <c r="AB27" s="245" t="s">
        <v>840</v>
      </c>
      <c r="AC27" s="245" t="s">
        <v>840</v>
      </c>
      <c r="AD27" s="245" t="s">
        <v>840</v>
      </c>
      <c r="AE27" s="245" t="s">
        <v>840</v>
      </c>
      <c r="AF27" s="245" t="s">
        <v>840</v>
      </c>
      <c r="AG27" s="246">
        <f>S27</f>
        <v>15.54</v>
      </c>
      <c r="AH27" s="245" t="s">
        <v>840</v>
      </c>
      <c r="AI27" s="245" t="s">
        <v>840</v>
      </c>
      <c r="AJ27" s="256">
        <f>V27</f>
        <v>2.9289999999999998</v>
      </c>
      <c r="AK27" s="245" t="s">
        <v>840</v>
      </c>
      <c r="AL27" s="245" t="s">
        <v>840</v>
      </c>
    </row>
    <row r="28" spans="1:38" s="313" customFormat="1" ht="74.25" customHeight="1" x14ac:dyDescent="0.25">
      <c r="A28" s="673" t="s">
        <v>546</v>
      </c>
      <c r="B28" s="674" t="s">
        <v>739</v>
      </c>
      <c r="C28" s="547" t="s">
        <v>840</v>
      </c>
      <c r="D28" s="546" t="s">
        <v>840</v>
      </c>
      <c r="E28" s="546" t="s">
        <v>840</v>
      </c>
      <c r="F28" s="546" t="s">
        <v>840</v>
      </c>
      <c r="G28" s="546" t="s">
        <v>840</v>
      </c>
      <c r="H28" s="546" t="s">
        <v>840</v>
      </c>
      <c r="I28" s="546" t="s">
        <v>840</v>
      </c>
      <c r="J28" s="546" t="s">
        <v>840</v>
      </c>
      <c r="K28" s="546" t="s">
        <v>840</v>
      </c>
      <c r="L28" s="546" t="s">
        <v>840</v>
      </c>
      <c r="M28" s="546" t="s">
        <v>840</v>
      </c>
      <c r="N28" s="546" t="s">
        <v>840</v>
      </c>
      <c r="O28" s="546" t="s">
        <v>840</v>
      </c>
      <c r="P28" s="546" t="s">
        <v>840</v>
      </c>
      <c r="Q28" s="546" t="s">
        <v>840</v>
      </c>
      <c r="R28" s="546" t="s">
        <v>840</v>
      </c>
      <c r="S28" s="546" t="s">
        <v>840</v>
      </c>
      <c r="T28" s="546" t="s">
        <v>840</v>
      </c>
      <c r="U28" s="546" t="s">
        <v>840</v>
      </c>
      <c r="V28" s="546" t="s">
        <v>840</v>
      </c>
      <c r="W28" s="546" t="s">
        <v>840</v>
      </c>
      <c r="X28" s="546" t="s">
        <v>840</v>
      </c>
      <c r="Y28" s="546" t="s">
        <v>840</v>
      </c>
      <c r="Z28" s="546" t="s">
        <v>840</v>
      </c>
      <c r="AA28" s="546" t="s">
        <v>840</v>
      </c>
      <c r="AB28" s="546" t="s">
        <v>840</v>
      </c>
      <c r="AC28" s="546" t="s">
        <v>840</v>
      </c>
      <c r="AD28" s="546" t="s">
        <v>840</v>
      </c>
      <c r="AE28" s="546" t="s">
        <v>840</v>
      </c>
      <c r="AF28" s="546" t="s">
        <v>840</v>
      </c>
      <c r="AG28" s="546" t="s">
        <v>840</v>
      </c>
      <c r="AH28" s="546" t="s">
        <v>840</v>
      </c>
      <c r="AI28" s="546" t="s">
        <v>840</v>
      </c>
      <c r="AJ28" s="546" t="s">
        <v>840</v>
      </c>
      <c r="AK28" s="546" t="s">
        <v>840</v>
      </c>
      <c r="AL28" s="546" t="s">
        <v>840</v>
      </c>
    </row>
    <row r="29" spans="1:38" s="313" customFormat="1" ht="70.5" customHeight="1" x14ac:dyDescent="0.25">
      <c r="A29" s="153" t="s">
        <v>599</v>
      </c>
      <c r="B29" s="154" t="s">
        <v>740</v>
      </c>
      <c r="C29" s="548" t="s">
        <v>840</v>
      </c>
      <c r="D29" s="245" t="s">
        <v>840</v>
      </c>
      <c r="E29" s="245" t="s">
        <v>840</v>
      </c>
      <c r="F29" s="245" t="s">
        <v>840</v>
      </c>
      <c r="G29" s="245" t="s">
        <v>840</v>
      </c>
      <c r="H29" s="245" t="s">
        <v>840</v>
      </c>
      <c r="I29" s="245" t="s">
        <v>840</v>
      </c>
      <c r="J29" s="245" t="s">
        <v>840</v>
      </c>
      <c r="K29" s="245" t="s">
        <v>840</v>
      </c>
      <c r="L29" s="245" t="s">
        <v>840</v>
      </c>
      <c r="M29" s="245" t="s">
        <v>840</v>
      </c>
      <c r="N29" s="245" t="s">
        <v>840</v>
      </c>
      <c r="O29" s="245" t="s">
        <v>840</v>
      </c>
      <c r="P29" s="245" t="s">
        <v>840</v>
      </c>
      <c r="Q29" s="245" t="s">
        <v>840</v>
      </c>
      <c r="R29" s="245" t="s">
        <v>840</v>
      </c>
      <c r="S29" s="245" t="s">
        <v>840</v>
      </c>
      <c r="T29" s="245" t="s">
        <v>840</v>
      </c>
      <c r="U29" s="245" t="s">
        <v>840</v>
      </c>
      <c r="V29" s="245" t="s">
        <v>840</v>
      </c>
      <c r="W29" s="245" t="s">
        <v>840</v>
      </c>
      <c r="X29" s="245" t="s">
        <v>840</v>
      </c>
      <c r="Y29" s="245" t="s">
        <v>840</v>
      </c>
      <c r="Z29" s="245" t="s">
        <v>840</v>
      </c>
      <c r="AA29" s="245" t="s">
        <v>840</v>
      </c>
      <c r="AB29" s="245" t="s">
        <v>840</v>
      </c>
      <c r="AC29" s="245" t="s">
        <v>840</v>
      </c>
      <c r="AD29" s="245" t="s">
        <v>840</v>
      </c>
      <c r="AE29" s="245" t="s">
        <v>840</v>
      </c>
      <c r="AF29" s="245" t="s">
        <v>840</v>
      </c>
      <c r="AG29" s="245" t="s">
        <v>840</v>
      </c>
      <c r="AH29" s="245" t="s">
        <v>840</v>
      </c>
      <c r="AI29" s="245" t="s">
        <v>840</v>
      </c>
      <c r="AJ29" s="245" t="s">
        <v>840</v>
      </c>
      <c r="AK29" s="245" t="s">
        <v>840</v>
      </c>
      <c r="AL29" s="245" t="s">
        <v>840</v>
      </c>
    </row>
    <row r="30" spans="1:38" s="313" customFormat="1" ht="89.25" customHeight="1" x14ac:dyDescent="0.25">
      <c r="A30" s="730" t="s">
        <v>947</v>
      </c>
      <c r="B30" s="923" t="s">
        <v>948</v>
      </c>
      <c r="C30" s="548" t="s">
        <v>840</v>
      </c>
      <c r="D30" s="245" t="s">
        <v>840</v>
      </c>
      <c r="E30" s="245" t="s">
        <v>840</v>
      </c>
      <c r="F30" s="245" t="s">
        <v>840</v>
      </c>
      <c r="G30" s="245" t="s">
        <v>840</v>
      </c>
      <c r="H30" s="245" t="s">
        <v>840</v>
      </c>
      <c r="I30" s="245" t="s">
        <v>840</v>
      </c>
      <c r="J30" s="245" t="s">
        <v>840</v>
      </c>
      <c r="K30" s="245" t="s">
        <v>840</v>
      </c>
      <c r="L30" s="245" t="s">
        <v>840</v>
      </c>
      <c r="M30" s="245" t="s">
        <v>840</v>
      </c>
      <c r="N30" s="245" t="s">
        <v>840</v>
      </c>
      <c r="O30" s="245" t="s">
        <v>840</v>
      </c>
      <c r="P30" s="245" t="s">
        <v>840</v>
      </c>
      <c r="Q30" s="245" t="s">
        <v>840</v>
      </c>
      <c r="R30" s="245" t="s">
        <v>840</v>
      </c>
      <c r="S30" s="245" t="s">
        <v>840</v>
      </c>
      <c r="T30" s="245" t="s">
        <v>840</v>
      </c>
      <c r="U30" s="245" t="s">
        <v>840</v>
      </c>
      <c r="V30" s="245" t="s">
        <v>840</v>
      </c>
      <c r="W30" s="245" t="s">
        <v>840</v>
      </c>
      <c r="X30" s="245" t="s">
        <v>840</v>
      </c>
      <c r="Y30" s="245" t="s">
        <v>840</v>
      </c>
      <c r="Z30" s="245" t="s">
        <v>840</v>
      </c>
      <c r="AA30" s="245" t="s">
        <v>840</v>
      </c>
      <c r="AB30" s="245" t="s">
        <v>840</v>
      </c>
      <c r="AC30" s="245" t="s">
        <v>840</v>
      </c>
      <c r="AD30" s="245" t="s">
        <v>840</v>
      </c>
      <c r="AE30" s="245" t="s">
        <v>840</v>
      </c>
      <c r="AF30" s="245" t="s">
        <v>840</v>
      </c>
      <c r="AG30" s="245" t="s">
        <v>840</v>
      </c>
      <c r="AH30" s="245" t="s">
        <v>840</v>
      </c>
      <c r="AI30" s="245" t="s">
        <v>840</v>
      </c>
      <c r="AJ30" s="245" t="s">
        <v>840</v>
      </c>
      <c r="AK30" s="245" t="s">
        <v>840</v>
      </c>
      <c r="AL30" s="245" t="s">
        <v>840</v>
      </c>
    </row>
    <row r="31" spans="1:38" s="183" customFormat="1" ht="122.25" customHeight="1" x14ac:dyDescent="0.25">
      <c r="A31" s="147" t="s">
        <v>547</v>
      </c>
      <c r="B31" s="148" t="s">
        <v>705</v>
      </c>
      <c r="C31" s="306" t="s">
        <v>840</v>
      </c>
      <c r="D31" s="302" t="s">
        <v>840</v>
      </c>
      <c r="E31" s="302" t="s">
        <v>840</v>
      </c>
      <c r="F31" s="302" t="s">
        <v>840</v>
      </c>
      <c r="G31" s="302" t="s">
        <v>840</v>
      </c>
      <c r="H31" s="302" t="s">
        <v>840</v>
      </c>
      <c r="I31" s="302" t="s">
        <v>840</v>
      </c>
      <c r="J31" s="302" t="s">
        <v>840</v>
      </c>
      <c r="K31" s="302" t="s">
        <v>840</v>
      </c>
      <c r="L31" s="302" t="s">
        <v>840</v>
      </c>
      <c r="M31" s="302" t="s">
        <v>840</v>
      </c>
      <c r="N31" s="302" t="s">
        <v>840</v>
      </c>
      <c r="O31" s="302" t="s">
        <v>840</v>
      </c>
      <c r="P31" s="302" t="s">
        <v>840</v>
      </c>
      <c r="Q31" s="302" t="s">
        <v>840</v>
      </c>
      <c r="R31" s="302" t="s">
        <v>840</v>
      </c>
      <c r="S31" s="303">
        <f>S32</f>
        <v>34.770000000000003</v>
      </c>
      <c r="T31" s="302">
        <f>T32</f>
        <v>1.6</v>
      </c>
      <c r="U31" s="302" t="s">
        <v>840</v>
      </c>
      <c r="V31" s="307" t="s">
        <v>840</v>
      </c>
      <c r="W31" s="302" t="s">
        <v>840</v>
      </c>
      <c r="X31" s="302">
        <f>X32</f>
        <v>28</v>
      </c>
      <c r="Y31" s="302" t="s">
        <v>840</v>
      </c>
      <c r="Z31" s="302" t="s">
        <v>840</v>
      </c>
      <c r="AA31" s="302" t="s">
        <v>840</v>
      </c>
      <c r="AB31" s="302" t="s">
        <v>840</v>
      </c>
      <c r="AC31" s="302" t="s">
        <v>840</v>
      </c>
      <c r="AD31" s="302" t="s">
        <v>840</v>
      </c>
      <c r="AE31" s="302" t="s">
        <v>840</v>
      </c>
      <c r="AF31" s="302" t="s">
        <v>840</v>
      </c>
      <c r="AG31" s="303">
        <f>AG32</f>
        <v>34.770000000000003</v>
      </c>
      <c r="AH31" s="302">
        <f>AH32</f>
        <v>1.6</v>
      </c>
      <c r="AI31" s="302" t="s">
        <v>840</v>
      </c>
      <c r="AJ31" s="307" t="s">
        <v>840</v>
      </c>
      <c r="AK31" s="302" t="s">
        <v>840</v>
      </c>
      <c r="AL31" s="302">
        <f>AL32</f>
        <v>28</v>
      </c>
    </row>
    <row r="32" spans="1:38" s="183" customFormat="1" ht="122.25" customHeight="1" x14ac:dyDescent="0.25">
      <c r="A32" s="147" t="s">
        <v>604</v>
      </c>
      <c r="B32" s="148" t="s">
        <v>707</v>
      </c>
      <c r="C32" s="306" t="s">
        <v>840</v>
      </c>
      <c r="D32" s="302" t="s">
        <v>840</v>
      </c>
      <c r="E32" s="302" t="s">
        <v>840</v>
      </c>
      <c r="F32" s="302" t="s">
        <v>840</v>
      </c>
      <c r="G32" s="302" t="s">
        <v>840</v>
      </c>
      <c r="H32" s="302" t="s">
        <v>840</v>
      </c>
      <c r="I32" s="302" t="s">
        <v>840</v>
      </c>
      <c r="J32" s="302" t="s">
        <v>840</v>
      </c>
      <c r="K32" s="302" t="s">
        <v>840</v>
      </c>
      <c r="L32" s="302" t="s">
        <v>840</v>
      </c>
      <c r="M32" s="302" t="s">
        <v>840</v>
      </c>
      <c r="N32" s="302" t="s">
        <v>840</v>
      </c>
      <c r="O32" s="302" t="s">
        <v>840</v>
      </c>
      <c r="P32" s="302" t="s">
        <v>840</v>
      </c>
      <c r="Q32" s="302" t="s">
        <v>840</v>
      </c>
      <c r="R32" s="302" t="s">
        <v>840</v>
      </c>
      <c r="S32" s="303">
        <f>SUM(S33:S35)</f>
        <v>34.770000000000003</v>
      </c>
      <c r="T32" s="302">
        <f>SUM(T33:T34)</f>
        <v>1.6</v>
      </c>
      <c r="U32" s="302" t="s">
        <v>840</v>
      </c>
      <c r="V32" s="307" t="s">
        <v>840</v>
      </c>
      <c r="W32" s="302" t="s">
        <v>840</v>
      </c>
      <c r="X32" s="302">
        <f>X35</f>
        <v>28</v>
      </c>
      <c r="Y32" s="302" t="s">
        <v>840</v>
      </c>
      <c r="Z32" s="302" t="s">
        <v>840</v>
      </c>
      <c r="AA32" s="302" t="s">
        <v>840</v>
      </c>
      <c r="AB32" s="302" t="s">
        <v>840</v>
      </c>
      <c r="AC32" s="302" t="s">
        <v>840</v>
      </c>
      <c r="AD32" s="302" t="s">
        <v>840</v>
      </c>
      <c r="AE32" s="302" t="s">
        <v>840</v>
      </c>
      <c r="AF32" s="302" t="s">
        <v>840</v>
      </c>
      <c r="AG32" s="303">
        <f>SUM(AG33:AG35)</f>
        <v>34.770000000000003</v>
      </c>
      <c r="AH32" s="302">
        <f>SUM(AH33:AH34)</f>
        <v>1.6</v>
      </c>
      <c r="AI32" s="302" t="s">
        <v>840</v>
      </c>
      <c r="AJ32" s="307" t="s">
        <v>840</v>
      </c>
      <c r="AK32" s="302" t="s">
        <v>840</v>
      </c>
      <c r="AL32" s="302">
        <f>AL35</f>
        <v>28</v>
      </c>
    </row>
    <row r="33" spans="1:38" s="313" customFormat="1" ht="48" customHeight="1" x14ac:dyDescent="0.25">
      <c r="A33" s="153" t="s">
        <v>885</v>
      </c>
      <c r="B33" s="325" t="s">
        <v>860</v>
      </c>
      <c r="C33" s="337" t="s">
        <v>1057</v>
      </c>
      <c r="D33" s="245" t="s">
        <v>840</v>
      </c>
      <c r="E33" s="245" t="s">
        <v>840</v>
      </c>
      <c r="F33" s="245" t="s">
        <v>840</v>
      </c>
      <c r="G33" s="245" t="s">
        <v>840</v>
      </c>
      <c r="H33" s="245" t="s">
        <v>840</v>
      </c>
      <c r="I33" s="245" t="s">
        <v>840</v>
      </c>
      <c r="J33" s="245" t="s">
        <v>840</v>
      </c>
      <c r="K33" s="245" t="s">
        <v>840</v>
      </c>
      <c r="L33" s="245" t="s">
        <v>840</v>
      </c>
      <c r="M33" s="245" t="s">
        <v>840</v>
      </c>
      <c r="N33" s="245" t="s">
        <v>840</v>
      </c>
      <c r="O33" s="245" t="s">
        <v>840</v>
      </c>
      <c r="P33" s="245" t="s">
        <v>840</v>
      </c>
      <c r="Q33" s="245" t="s">
        <v>840</v>
      </c>
      <c r="R33" s="245" t="s">
        <v>840</v>
      </c>
      <c r="S33" s="246">
        <f>'3 (цены без НДС)'!K53</f>
        <v>7.64</v>
      </c>
      <c r="T33" s="245">
        <f>'Ф1 2020'!J67</f>
        <v>0.8</v>
      </c>
      <c r="U33" s="245" t="s">
        <v>840</v>
      </c>
      <c r="V33" s="256" t="s">
        <v>840</v>
      </c>
      <c r="W33" s="245" t="s">
        <v>840</v>
      </c>
      <c r="X33" s="245" t="s">
        <v>840</v>
      </c>
      <c r="Y33" s="245" t="s">
        <v>840</v>
      </c>
      <c r="Z33" s="245" t="s">
        <v>840</v>
      </c>
      <c r="AA33" s="245" t="s">
        <v>840</v>
      </c>
      <c r="AB33" s="245" t="s">
        <v>840</v>
      </c>
      <c r="AC33" s="245" t="s">
        <v>840</v>
      </c>
      <c r="AD33" s="245" t="s">
        <v>840</v>
      </c>
      <c r="AE33" s="245" t="s">
        <v>840</v>
      </c>
      <c r="AF33" s="245" t="s">
        <v>840</v>
      </c>
      <c r="AG33" s="246">
        <f>S33</f>
        <v>7.64</v>
      </c>
      <c r="AH33" s="245">
        <f>T33</f>
        <v>0.8</v>
      </c>
      <c r="AI33" s="245" t="s">
        <v>840</v>
      </c>
      <c r="AJ33" s="256" t="s">
        <v>840</v>
      </c>
      <c r="AK33" s="245" t="s">
        <v>840</v>
      </c>
      <c r="AL33" s="245" t="s">
        <v>840</v>
      </c>
    </row>
    <row r="34" spans="1:38" s="313" customFormat="1" ht="50.25" customHeight="1" x14ac:dyDescent="0.25">
      <c r="A34" s="153" t="s">
        <v>886</v>
      </c>
      <c r="B34" s="325" t="s">
        <v>861</v>
      </c>
      <c r="C34" s="337" t="s">
        <v>1058</v>
      </c>
      <c r="D34" s="245" t="s">
        <v>840</v>
      </c>
      <c r="E34" s="245" t="s">
        <v>840</v>
      </c>
      <c r="F34" s="245" t="s">
        <v>840</v>
      </c>
      <c r="G34" s="245" t="s">
        <v>840</v>
      </c>
      <c r="H34" s="245" t="s">
        <v>840</v>
      </c>
      <c r="I34" s="245" t="s">
        <v>840</v>
      </c>
      <c r="J34" s="245" t="s">
        <v>840</v>
      </c>
      <c r="K34" s="245" t="s">
        <v>840</v>
      </c>
      <c r="L34" s="245" t="s">
        <v>840</v>
      </c>
      <c r="M34" s="245" t="s">
        <v>840</v>
      </c>
      <c r="N34" s="245" t="s">
        <v>840</v>
      </c>
      <c r="O34" s="245" t="s">
        <v>840</v>
      </c>
      <c r="P34" s="245" t="s">
        <v>840</v>
      </c>
      <c r="Q34" s="245" t="s">
        <v>840</v>
      </c>
      <c r="R34" s="245" t="s">
        <v>840</v>
      </c>
      <c r="S34" s="246">
        <f>'3 (цены без НДС)'!K54</f>
        <v>5.58</v>
      </c>
      <c r="T34" s="245">
        <f>'Ф1 2020'!J68</f>
        <v>0.8</v>
      </c>
      <c r="U34" s="245" t="s">
        <v>840</v>
      </c>
      <c r="V34" s="256" t="s">
        <v>840</v>
      </c>
      <c r="W34" s="245" t="s">
        <v>840</v>
      </c>
      <c r="X34" s="245" t="s">
        <v>840</v>
      </c>
      <c r="Y34" s="245" t="s">
        <v>840</v>
      </c>
      <c r="Z34" s="245" t="s">
        <v>840</v>
      </c>
      <c r="AA34" s="245" t="s">
        <v>840</v>
      </c>
      <c r="AB34" s="245" t="s">
        <v>840</v>
      </c>
      <c r="AC34" s="245" t="s">
        <v>840</v>
      </c>
      <c r="AD34" s="245" t="s">
        <v>840</v>
      </c>
      <c r="AE34" s="245" t="s">
        <v>840</v>
      </c>
      <c r="AF34" s="245" t="s">
        <v>840</v>
      </c>
      <c r="AG34" s="246">
        <f>S34</f>
        <v>5.58</v>
      </c>
      <c r="AH34" s="245">
        <f>T34</f>
        <v>0.8</v>
      </c>
      <c r="AI34" s="245" t="s">
        <v>840</v>
      </c>
      <c r="AJ34" s="256" t="s">
        <v>840</v>
      </c>
      <c r="AK34" s="245" t="s">
        <v>840</v>
      </c>
      <c r="AL34" s="245" t="s">
        <v>840</v>
      </c>
    </row>
    <row r="35" spans="1:38" s="313" customFormat="1" ht="59.25" customHeight="1" x14ac:dyDescent="0.25">
      <c r="A35" s="153" t="s">
        <v>887</v>
      </c>
      <c r="B35" s="325" t="s">
        <v>862</v>
      </c>
      <c r="C35" s="337" t="s">
        <v>1059</v>
      </c>
      <c r="D35" s="245" t="s">
        <v>840</v>
      </c>
      <c r="E35" s="245" t="s">
        <v>840</v>
      </c>
      <c r="F35" s="245" t="s">
        <v>840</v>
      </c>
      <c r="G35" s="245" t="s">
        <v>840</v>
      </c>
      <c r="H35" s="245" t="s">
        <v>840</v>
      </c>
      <c r="I35" s="245" t="s">
        <v>840</v>
      </c>
      <c r="J35" s="245" t="s">
        <v>840</v>
      </c>
      <c r="K35" s="245" t="s">
        <v>840</v>
      </c>
      <c r="L35" s="245" t="s">
        <v>840</v>
      </c>
      <c r="M35" s="245" t="s">
        <v>840</v>
      </c>
      <c r="N35" s="245" t="s">
        <v>840</v>
      </c>
      <c r="O35" s="245" t="s">
        <v>840</v>
      </c>
      <c r="P35" s="245" t="s">
        <v>840</v>
      </c>
      <c r="Q35" s="245" t="s">
        <v>840</v>
      </c>
      <c r="R35" s="245" t="s">
        <v>840</v>
      </c>
      <c r="S35" s="246">
        <f>'3 (цены без НДС)'!K55</f>
        <v>21.55</v>
      </c>
      <c r="T35" s="245" t="s">
        <v>840</v>
      </c>
      <c r="U35" s="245" t="s">
        <v>840</v>
      </c>
      <c r="V35" s="256" t="s">
        <v>840</v>
      </c>
      <c r="W35" s="245" t="s">
        <v>840</v>
      </c>
      <c r="X35" s="245">
        <f>'Ф1 2020'!L69</f>
        <v>28</v>
      </c>
      <c r="Y35" s="245" t="s">
        <v>840</v>
      </c>
      <c r="Z35" s="245" t="s">
        <v>840</v>
      </c>
      <c r="AA35" s="245" t="s">
        <v>840</v>
      </c>
      <c r="AB35" s="245" t="s">
        <v>840</v>
      </c>
      <c r="AC35" s="245" t="s">
        <v>840</v>
      </c>
      <c r="AD35" s="245" t="s">
        <v>840</v>
      </c>
      <c r="AE35" s="245" t="s">
        <v>840</v>
      </c>
      <c r="AF35" s="245" t="s">
        <v>840</v>
      </c>
      <c r="AG35" s="246">
        <f>S35</f>
        <v>21.55</v>
      </c>
      <c r="AH35" s="245" t="s">
        <v>840</v>
      </c>
      <c r="AI35" s="245" t="s">
        <v>840</v>
      </c>
      <c r="AJ35" s="256" t="s">
        <v>840</v>
      </c>
      <c r="AK35" s="245" t="s">
        <v>840</v>
      </c>
      <c r="AL35" s="245">
        <f>X35</f>
        <v>28</v>
      </c>
    </row>
    <row r="36" spans="1:38" s="311" customFormat="1" ht="42" hidden="1" customHeight="1" x14ac:dyDescent="0.3">
      <c r="A36" s="147" t="s">
        <v>741</v>
      </c>
      <c r="B36" s="159" t="s">
        <v>690</v>
      </c>
      <c r="C36" s="159">
        <f>C37</f>
        <v>0</v>
      </c>
      <c r="D36" s="159">
        <f t="shared" ref="D36:AL36" si="0">D37</f>
        <v>0</v>
      </c>
      <c r="E36" s="159">
        <f t="shared" si="0"/>
        <v>0</v>
      </c>
      <c r="F36" s="159">
        <f t="shared" si="0"/>
        <v>0</v>
      </c>
      <c r="G36" s="159">
        <f t="shared" si="0"/>
        <v>0</v>
      </c>
      <c r="H36" s="159">
        <f t="shared" si="0"/>
        <v>0</v>
      </c>
      <c r="I36" s="159">
        <f t="shared" si="0"/>
        <v>0</v>
      </c>
      <c r="J36" s="159">
        <f t="shared" si="0"/>
        <v>0</v>
      </c>
      <c r="K36" s="159">
        <f t="shared" si="0"/>
        <v>0</v>
      </c>
      <c r="L36" s="159">
        <f t="shared" si="0"/>
        <v>0</v>
      </c>
      <c r="M36" s="159">
        <f t="shared" si="0"/>
        <v>0</v>
      </c>
      <c r="N36" s="159">
        <f t="shared" si="0"/>
        <v>0</v>
      </c>
      <c r="O36" s="159">
        <f t="shared" si="0"/>
        <v>0</v>
      </c>
      <c r="P36" s="159">
        <f t="shared" si="0"/>
        <v>0</v>
      </c>
      <c r="Q36" s="159">
        <f t="shared" si="0"/>
        <v>0</v>
      </c>
      <c r="R36" s="159">
        <f t="shared" si="0"/>
        <v>0</v>
      </c>
      <c r="S36" s="159">
        <f t="shared" si="0"/>
        <v>0</v>
      </c>
      <c r="T36" s="159">
        <f t="shared" si="0"/>
        <v>0</v>
      </c>
      <c r="U36" s="159">
        <f t="shared" si="0"/>
        <v>0</v>
      </c>
      <c r="V36" s="159">
        <f t="shared" si="0"/>
        <v>0</v>
      </c>
      <c r="W36" s="159">
        <f t="shared" si="0"/>
        <v>0</v>
      </c>
      <c r="X36" s="578">
        <f t="shared" si="0"/>
        <v>0</v>
      </c>
      <c r="Y36" s="159">
        <f t="shared" si="0"/>
        <v>0</v>
      </c>
      <c r="Z36" s="159">
        <f t="shared" si="0"/>
        <v>0</v>
      </c>
      <c r="AA36" s="159">
        <f t="shared" si="0"/>
        <v>0</v>
      </c>
      <c r="AB36" s="159">
        <f t="shared" si="0"/>
        <v>0</v>
      </c>
      <c r="AC36" s="159">
        <f t="shared" si="0"/>
        <v>0</v>
      </c>
      <c r="AD36" s="159">
        <f t="shared" si="0"/>
        <v>0</v>
      </c>
      <c r="AE36" s="159">
        <f t="shared" si="0"/>
        <v>0</v>
      </c>
      <c r="AF36" s="159">
        <f t="shared" si="0"/>
        <v>0</v>
      </c>
      <c r="AG36" s="159">
        <f t="shared" si="0"/>
        <v>0</v>
      </c>
      <c r="AH36" s="159">
        <f t="shared" si="0"/>
        <v>0</v>
      </c>
      <c r="AI36" s="159">
        <f t="shared" si="0"/>
        <v>0</v>
      </c>
      <c r="AJ36" s="159">
        <f t="shared" si="0"/>
        <v>0</v>
      </c>
      <c r="AK36" s="159">
        <f t="shared" si="0"/>
        <v>0</v>
      </c>
      <c r="AL36" s="159">
        <f t="shared" si="0"/>
        <v>0</v>
      </c>
    </row>
    <row r="37" spans="1:38" ht="30.75" hidden="1" x14ac:dyDescent="0.3">
      <c r="A37" s="316"/>
      <c r="B37" s="426"/>
      <c r="C37" s="575"/>
      <c r="D37" s="245"/>
      <c r="E37" s="245"/>
      <c r="F37" s="245"/>
      <c r="G37" s="245"/>
      <c r="H37" s="245"/>
      <c r="I37" s="245"/>
      <c r="J37" s="245"/>
      <c r="K37" s="245"/>
      <c r="L37" s="245"/>
      <c r="M37" s="245"/>
      <c r="N37" s="245"/>
      <c r="O37" s="245"/>
      <c r="P37" s="245"/>
      <c r="Q37" s="245"/>
      <c r="R37" s="245"/>
      <c r="S37" s="246"/>
      <c r="T37" s="245"/>
      <c r="U37" s="245"/>
      <c r="V37" s="256"/>
      <c r="W37" s="245"/>
      <c r="X37" s="245"/>
      <c r="Y37" s="245"/>
      <c r="Z37" s="245"/>
      <c r="AA37" s="245"/>
      <c r="AB37" s="245"/>
      <c r="AC37" s="245"/>
      <c r="AD37" s="245"/>
      <c r="AE37" s="245"/>
      <c r="AF37" s="246"/>
      <c r="AG37" s="245"/>
      <c r="AH37" s="245"/>
      <c r="AI37" s="245"/>
      <c r="AJ37" s="256"/>
      <c r="AK37" s="245"/>
      <c r="AL37" s="245"/>
    </row>
    <row r="38" spans="1:38" ht="30.75" x14ac:dyDescent="0.3">
      <c r="A38" s="157" t="s">
        <v>741</v>
      </c>
      <c r="B38" s="301" t="s">
        <v>1653</v>
      </c>
      <c r="C38" s="686" t="s">
        <v>621</v>
      </c>
      <c r="D38" s="302" t="s">
        <v>840</v>
      </c>
      <c r="E38" s="302" t="s">
        <v>840</v>
      </c>
      <c r="F38" s="302" t="s">
        <v>840</v>
      </c>
      <c r="G38" s="302" t="s">
        <v>840</v>
      </c>
      <c r="H38" s="302" t="s">
        <v>840</v>
      </c>
      <c r="I38" s="302" t="s">
        <v>840</v>
      </c>
      <c r="J38" s="302" t="s">
        <v>840</v>
      </c>
      <c r="K38" s="302" t="s">
        <v>840</v>
      </c>
      <c r="L38" s="302" t="s">
        <v>840</v>
      </c>
      <c r="M38" s="302" t="s">
        <v>840</v>
      </c>
      <c r="N38" s="302" t="s">
        <v>840</v>
      </c>
      <c r="O38" s="302" t="s">
        <v>840</v>
      </c>
      <c r="P38" s="302" t="s">
        <v>840</v>
      </c>
      <c r="Q38" s="302" t="s">
        <v>840</v>
      </c>
      <c r="R38" s="302" t="s">
        <v>840</v>
      </c>
      <c r="S38" s="323">
        <f>SUM(S39:S41)</f>
        <v>0</v>
      </c>
      <c r="T38" s="302">
        <f>SUM(T39:T40)</f>
        <v>0</v>
      </c>
      <c r="U38" s="302" t="s">
        <v>840</v>
      </c>
      <c r="V38" s="307" t="s">
        <v>840</v>
      </c>
      <c r="W38" s="302" t="s">
        <v>840</v>
      </c>
      <c r="X38" s="302">
        <f>X41</f>
        <v>0</v>
      </c>
      <c r="Y38" s="302" t="s">
        <v>840</v>
      </c>
      <c r="Z38" s="302" t="s">
        <v>840</v>
      </c>
      <c r="AA38" s="302" t="s">
        <v>840</v>
      </c>
      <c r="AB38" s="302" t="s">
        <v>840</v>
      </c>
      <c r="AC38" s="302" t="s">
        <v>840</v>
      </c>
      <c r="AD38" s="302" t="s">
        <v>840</v>
      </c>
      <c r="AE38" s="302" t="s">
        <v>840</v>
      </c>
      <c r="AF38" s="302" t="s">
        <v>840</v>
      </c>
      <c r="AG38" s="323">
        <f>SUM(AG39:AG41)</f>
        <v>0</v>
      </c>
      <c r="AH38" s="302">
        <f>SUM(AH39:AH40)</f>
        <v>0</v>
      </c>
      <c r="AI38" s="302" t="s">
        <v>840</v>
      </c>
      <c r="AJ38" s="307" t="s">
        <v>840</v>
      </c>
      <c r="AK38" s="302" t="s">
        <v>840</v>
      </c>
      <c r="AL38" s="302">
        <f>AL41</f>
        <v>0</v>
      </c>
    </row>
    <row r="39" spans="1:38" ht="40.5" x14ac:dyDescent="0.3">
      <c r="A39" s="153" t="s">
        <v>741</v>
      </c>
      <c r="B39" s="670" t="s">
        <v>1654</v>
      </c>
      <c r="C39" s="146" t="str">
        <f>CONCATENATE("J","_",2021,"_",A39)</f>
        <v>J_2021_1.6</v>
      </c>
      <c r="D39" s="672" t="str">
        <f>D38</f>
        <v xml:space="preserve">нд </v>
      </c>
      <c r="E39" s="672" t="str">
        <f t="shared" ref="E39:AL39" si="1">E38</f>
        <v xml:space="preserve">нд </v>
      </c>
      <c r="F39" s="672" t="str">
        <f t="shared" si="1"/>
        <v xml:space="preserve">нд </v>
      </c>
      <c r="G39" s="672" t="str">
        <f t="shared" si="1"/>
        <v xml:space="preserve">нд </v>
      </c>
      <c r="H39" s="672" t="str">
        <f t="shared" si="1"/>
        <v xml:space="preserve">нд </v>
      </c>
      <c r="I39" s="672" t="str">
        <f t="shared" si="1"/>
        <v xml:space="preserve">нд </v>
      </c>
      <c r="J39" s="672" t="str">
        <f t="shared" si="1"/>
        <v xml:space="preserve">нд </v>
      </c>
      <c r="K39" s="672" t="str">
        <f t="shared" si="1"/>
        <v xml:space="preserve">нд </v>
      </c>
      <c r="L39" s="672" t="str">
        <f t="shared" si="1"/>
        <v xml:space="preserve">нд </v>
      </c>
      <c r="M39" s="672" t="str">
        <f t="shared" si="1"/>
        <v xml:space="preserve">нд </v>
      </c>
      <c r="N39" s="672" t="str">
        <f t="shared" si="1"/>
        <v xml:space="preserve">нд </v>
      </c>
      <c r="O39" s="672" t="str">
        <f t="shared" si="1"/>
        <v xml:space="preserve">нд </v>
      </c>
      <c r="P39" s="672" t="str">
        <f t="shared" si="1"/>
        <v xml:space="preserve">нд </v>
      </c>
      <c r="Q39" s="672" t="str">
        <f t="shared" si="1"/>
        <v xml:space="preserve">нд </v>
      </c>
      <c r="R39" s="672" t="str">
        <f t="shared" si="1"/>
        <v xml:space="preserve">нд </v>
      </c>
      <c r="S39" s="672">
        <v>0</v>
      </c>
      <c r="T39" s="672">
        <v>0</v>
      </c>
      <c r="U39" s="672" t="str">
        <f t="shared" si="1"/>
        <v xml:space="preserve">нд </v>
      </c>
      <c r="V39" s="672" t="str">
        <f t="shared" si="1"/>
        <v xml:space="preserve">нд </v>
      </c>
      <c r="W39" s="672" t="str">
        <f t="shared" si="1"/>
        <v xml:space="preserve">нд </v>
      </c>
      <c r="X39" s="672">
        <f t="shared" si="1"/>
        <v>0</v>
      </c>
      <c r="Y39" s="672" t="str">
        <f t="shared" si="1"/>
        <v xml:space="preserve">нд </v>
      </c>
      <c r="Z39" s="672" t="str">
        <f t="shared" si="1"/>
        <v xml:space="preserve">нд </v>
      </c>
      <c r="AA39" s="672" t="str">
        <f t="shared" si="1"/>
        <v xml:space="preserve">нд </v>
      </c>
      <c r="AB39" s="672" t="str">
        <f t="shared" si="1"/>
        <v xml:space="preserve">нд </v>
      </c>
      <c r="AC39" s="672" t="str">
        <f t="shared" si="1"/>
        <v xml:space="preserve">нд </v>
      </c>
      <c r="AD39" s="672" t="str">
        <f t="shared" si="1"/>
        <v xml:space="preserve">нд </v>
      </c>
      <c r="AE39" s="672" t="str">
        <f t="shared" si="1"/>
        <v xml:space="preserve">нд </v>
      </c>
      <c r="AF39" s="672" t="str">
        <f t="shared" si="1"/>
        <v xml:space="preserve">нд </v>
      </c>
      <c r="AG39" s="672">
        <v>0</v>
      </c>
      <c r="AH39" s="672">
        <v>0</v>
      </c>
      <c r="AI39" s="672" t="str">
        <f t="shared" si="1"/>
        <v xml:space="preserve">нд </v>
      </c>
      <c r="AJ39" s="672" t="str">
        <f t="shared" si="1"/>
        <v xml:space="preserve">нд </v>
      </c>
      <c r="AK39" s="672" t="str">
        <f t="shared" si="1"/>
        <v xml:space="preserve">нд </v>
      </c>
      <c r="AL39" s="672">
        <f t="shared" si="1"/>
        <v>0</v>
      </c>
    </row>
    <row r="40" spans="1:38" s="250" customFormat="1" ht="91.5" customHeight="1" x14ac:dyDescent="0.45">
      <c r="B40" s="237" t="s">
        <v>841</v>
      </c>
      <c r="C40" s="237"/>
      <c r="D40" s="237"/>
      <c r="E40" s="237"/>
      <c r="F40" s="237"/>
      <c r="G40" s="237"/>
      <c r="I40" s="237"/>
      <c r="AJ40" s="237" t="s">
        <v>1652</v>
      </c>
    </row>
    <row r="44" spans="1:38" x14ac:dyDescent="0.3">
      <c r="AJ44" s="133" t="s">
        <v>64</v>
      </c>
    </row>
  </sheetData>
  <mergeCells count="24">
    <mergeCell ref="A12:AL12"/>
    <mergeCell ref="A13:AL13"/>
    <mergeCell ref="A5:AL5"/>
    <mergeCell ref="A4:AL4"/>
    <mergeCell ref="A7:AL7"/>
    <mergeCell ref="A8:AL8"/>
    <mergeCell ref="A9:AL9"/>
    <mergeCell ref="A10:AL10"/>
    <mergeCell ref="A11:AL11"/>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s>
  <pageMargins left="0.70866141732283472" right="0.70866141732283472" top="0.74803149606299213" bottom="0.74803149606299213" header="0.31496062992125984" footer="0.31496062992125984"/>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42</vt:i4>
      </vt:variant>
    </vt:vector>
  </HeadingPairs>
  <TitlesOfParts>
    <vt:vector size="69" baseType="lpstr">
      <vt:lpstr>Ф1 2020</vt:lpstr>
      <vt:lpstr>Ф1 2021</vt:lpstr>
      <vt:lpstr>Ф1 2022</vt:lpstr>
      <vt:lpstr>Ф1 2023</vt:lpstr>
      <vt:lpstr>Ф1 2024</vt:lpstr>
      <vt:lpstr>2 (цены с НДС)</vt:lpstr>
      <vt:lpstr>3 (цены без НДС)</vt:lpstr>
      <vt:lpstr>4</vt:lpstr>
      <vt:lpstr>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21</vt:lpstr>
      <vt:lpstr>ФП</vt:lpstr>
      <vt:lpstr>'11.2'!Заголовки_для_печати</vt:lpstr>
      <vt:lpstr>'11.3'!Заголовки_для_печати</vt:lpstr>
      <vt:lpstr>'12'!Заголовки_для_печати</vt:lpstr>
      <vt:lpstr>'13'!Заголовки_для_печати</vt:lpstr>
      <vt:lpstr>'14'!Заголовки_для_печати</vt:lpstr>
      <vt:lpstr>'2 (цены с НДС)'!Заголовки_для_печати</vt:lpstr>
      <vt:lpstr>'3 (цены без НДС)'!Заголовки_для_печати</vt:lpstr>
      <vt:lpstr>'4'!Заголовки_для_печати</vt:lpstr>
      <vt:lpstr>'7'!Заголовки_для_печати</vt:lpstr>
      <vt:lpstr>'8'!Заголовки_для_печати</vt:lpstr>
      <vt:lpstr>'9'!Заголовки_для_печати</vt:lpstr>
      <vt:lpstr>'Ф1 2020'!Заголовки_для_печати</vt:lpstr>
      <vt:lpstr>'Ф1 2021'!Заголовки_для_печати</vt:lpstr>
      <vt:lpstr>'Ф1 2022'!Заголовки_для_печати</vt:lpstr>
      <vt:lpstr>'Ф1 2023'!Заголовки_для_печати</vt:lpstr>
      <vt:lpstr>'Ф1 2024'!Заголовки_для_печати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'2 (цены с НДС)'!Область_печати</vt:lpstr>
      <vt:lpstr>'21'!Область_печати</vt:lpstr>
      <vt:lpstr>'3 (цены без НДС)'!Область_печати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lpstr>'Ф1 2020'!Область_печати</vt:lpstr>
      <vt:lpstr>'Ф1 2021'!Область_печати</vt:lpstr>
      <vt:lpstr>'Ф1 2022'!Область_печати</vt:lpstr>
      <vt:lpstr>'Ф1 2023'!Область_печати</vt:lpstr>
      <vt:lpstr>'Ф1 2024'!Область_печати</vt:lpstr>
      <vt:lpstr>ФП!Область_печати</vt:lpstr>
    </vt:vector>
  </TitlesOfParts>
  <Company>Datanium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Недоводиев Николай Александрович</cp:lastModifiedBy>
  <cp:lastPrinted>2021-06-25T06:15:57Z</cp:lastPrinted>
  <dcterms:created xsi:type="dcterms:W3CDTF">2009-07-27T10:10:26Z</dcterms:created>
  <dcterms:modified xsi:type="dcterms:W3CDTF">2021-07-01T23:15:38Z</dcterms:modified>
</cp:coreProperties>
</file>